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Штатное, тарификация 01.09.2020\"/>
    </mc:Choice>
  </mc:AlternateContent>
  <bookViews>
    <workbookView xWindow="0" yWindow="0" windowWidth="21570" windowHeight="10215"/>
  </bookViews>
  <sheets>
    <sheet name="01.09.2020" sheetId="2" r:id="rId1"/>
  </sheets>
  <definedNames>
    <definedName name="_xlnm.Print_Titles" localSheetId="0">'01.09.2020'!$8:$11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3" i="2" l="1"/>
  <c r="AI15" i="2"/>
  <c r="AI17" i="2"/>
  <c r="AI18" i="2"/>
  <c r="AI20" i="2"/>
  <c r="AI22" i="2"/>
  <c r="AG24" i="2"/>
  <c r="AI24" i="2"/>
  <c r="AV24" i="2"/>
  <c r="AE25" i="2"/>
  <c r="AG26" i="2"/>
  <c r="AI26" i="2"/>
  <c r="AU26" i="2"/>
  <c r="AF27" i="2"/>
  <c r="AI27" i="2"/>
  <c r="AI28" i="2"/>
  <c r="AP28" i="2"/>
  <c r="AI29" i="2"/>
  <c r="AF30" i="2"/>
  <c r="AI30" i="2"/>
  <c r="AF31" i="2"/>
  <c r="AI31" i="2"/>
  <c r="AI32" i="2"/>
  <c r="AF33" i="2"/>
  <c r="AI33" i="2"/>
  <c r="AI34" i="2"/>
  <c r="AF35" i="2"/>
  <c r="AI35" i="2"/>
  <c r="AF36" i="2"/>
  <c r="AI36" i="2"/>
  <c r="AI37" i="2"/>
  <c r="AF38" i="2"/>
  <c r="AI38" i="2"/>
  <c r="AI39" i="2"/>
  <c r="AF40" i="2"/>
  <c r="AI40" i="2"/>
  <c r="AF41" i="2"/>
  <c r="AI41" i="2"/>
  <c r="AI42" i="2"/>
  <c r="AF43" i="2"/>
  <c r="AI43" i="2"/>
  <c r="AI44" i="2"/>
  <c r="AF45" i="2"/>
  <c r="AI45" i="2"/>
  <c r="AI46" i="2"/>
  <c r="AF47" i="2"/>
  <c r="AF49" i="2"/>
  <c r="AI49" i="2"/>
  <c r="AF50" i="2"/>
  <c r="AF52" i="2"/>
  <c r="AF54" i="2"/>
  <c r="AF55" i="2"/>
  <c r="AF56" i="2"/>
  <c r="AF57" i="2"/>
  <c r="AF59" i="2"/>
  <c r="AI59" i="2"/>
  <c r="AI60" i="2"/>
  <c r="AF61" i="2"/>
  <c r="AI61" i="2"/>
  <c r="AF62" i="2"/>
  <c r="AI62" i="2"/>
  <c r="AI63" i="2"/>
  <c r="AF64" i="2"/>
  <c r="AI64" i="2"/>
  <c r="AG65" i="2"/>
  <c r="AI65" i="2"/>
  <c r="AU65" i="2"/>
  <c r="AI66" i="2"/>
  <c r="AG67" i="2"/>
  <c r="AI67" i="2"/>
  <c r="AV67" i="2"/>
  <c r="AI68" i="2"/>
  <c r="AI69" i="2"/>
  <c r="AF70" i="2"/>
  <c r="AG70" i="2"/>
  <c r="AI70" i="2"/>
  <c r="AU70" i="2"/>
  <c r="AI71" i="2"/>
  <c r="AF72" i="2"/>
  <c r="AG72" i="2"/>
  <c r="AI72" i="2"/>
  <c r="AG73" i="2"/>
  <c r="AI73" i="2"/>
  <c r="AI74" i="2"/>
  <c r="AI75" i="2"/>
  <c r="AI76" i="2"/>
  <c r="AF77" i="2"/>
  <c r="AI77" i="2"/>
  <c r="AF78" i="2"/>
  <c r="AI78" i="2"/>
  <c r="AI79" i="2"/>
  <c r="AI80" i="2"/>
  <c r="AI81" i="2"/>
  <c r="AI82" i="2"/>
  <c r="AF83" i="2"/>
  <c r="AI83" i="2"/>
  <c r="AI84" i="2"/>
  <c r="AW84" i="2"/>
  <c r="AI85" i="2"/>
  <c r="AI86" i="2"/>
  <c r="AI87" i="2"/>
  <c r="AI88" i="2"/>
  <c r="AF89" i="2"/>
  <c r="AI89" i="2"/>
  <c r="AG90" i="2"/>
  <c r="AI90" i="2"/>
  <c r="AI91" i="2"/>
  <c r="AF92" i="2"/>
  <c r="AI92" i="2"/>
  <c r="AI93" i="2"/>
  <c r="AI94" i="2"/>
  <c r="AI95" i="2"/>
  <c r="AF96" i="2"/>
  <c r="AI96" i="2"/>
  <c r="AF97" i="2"/>
  <c r="AI97" i="2"/>
  <c r="AF98" i="2"/>
  <c r="AI98" i="2"/>
  <c r="AI99" i="2"/>
  <c r="AI100" i="2"/>
  <c r="AI101" i="2"/>
  <c r="AI102" i="2"/>
  <c r="AI103" i="2"/>
  <c r="AI104" i="2"/>
  <c r="AI106" i="2"/>
  <c r="AF107" i="2"/>
  <c r="AI107" i="2"/>
  <c r="AI108" i="2"/>
  <c r="AI109" i="2"/>
  <c r="AF110" i="2"/>
  <c r="AI111" i="2"/>
  <c r="AI113" i="2"/>
  <c r="AI115" i="2"/>
  <c r="AG116" i="2"/>
  <c r="AI116" i="2"/>
  <c r="AI118" i="2"/>
  <c r="AI119" i="2"/>
  <c r="X15" i="2"/>
  <c r="X20" i="2"/>
  <c r="X22" i="2"/>
  <c r="V27" i="2"/>
  <c r="V28" i="2"/>
  <c r="V30" i="2"/>
  <c r="V33" i="2"/>
  <c r="V35" i="2"/>
  <c r="V36" i="2"/>
  <c r="V38" i="2"/>
  <c r="V40" i="2"/>
  <c r="V41" i="2"/>
  <c r="V43" i="2"/>
  <c r="V45" i="2"/>
  <c r="V47" i="2"/>
  <c r="V49" i="2"/>
  <c r="V50" i="2"/>
  <c r="V52" i="2"/>
  <c r="V54" i="2"/>
  <c r="V55" i="2"/>
  <c r="V56" i="2"/>
  <c r="V57" i="2"/>
  <c r="Z59" i="2"/>
  <c r="X60" i="2"/>
  <c r="X61" i="2"/>
  <c r="X62" i="2"/>
  <c r="X63" i="2"/>
  <c r="X64" i="2"/>
  <c r="Z64" i="2"/>
  <c r="X65" i="2"/>
  <c r="Z65" i="2"/>
  <c r="X67" i="2"/>
  <c r="Z67" i="2"/>
  <c r="Z68" i="2"/>
  <c r="X70" i="2"/>
  <c r="Z70" i="2"/>
  <c r="X77" i="2"/>
  <c r="X78" i="2"/>
  <c r="Z78" i="2"/>
  <c r="X79" i="2"/>
  <c r="Z79" i="2"/>
  <c r="V80" i="2"/>
  <c r="X80" i="2"/>
  <c r="V81" i="2"/>
  <c r="X81" i="2"/>
  <c r="Z81" i="2"/>
  <c r="V82" i="2"/>
  <c r="Z82" i="2"/>
  <c r="X83" i="2"/>
  <c r="V84" i="2"/>
  <c r="X84" i="2"/>
  <c r="X85" i="2"/>
  <c r="V86" i="2"/>
  <c r="X86" i="2"/>
  <c r="V87" i="2"/>
  <c r="X87" i="2"/>
  <c r="V88" i="2"/>
  <c r="V89" i="2"/>
  <c r="X90" i="2"/>
  <c r="Z90" i="2"/>
  <c r="X91" i="2"/>
  <c r="Z91" i="2"/>
  <c r="V92" i="2"/>
  <c r="X92" i="2"/>
  <c r="V93" i="2"/>
  <c r="X93" i="2"/>
  <c r="V94" i="2"/>
  <c r="V95" i="2"/>
  <c r="T119" i="2"/>
  <c r="J119" i="2"/>
  <c r="L119" i="2" s="1"/>
  <c r="S119" i="2" s="1"/>
  <c r="R118" i="2"/>
  <c r="J118" i="2"/>
  <c r="L118" i="2" s="1"/>
  <c r="AY118" i="2" s="1"/>
  <c r="J117" i="2"/>
  <c r="L117" i="2" s="1"/>
  <c r="AZ117" i="2" s="1"/>
  <c r="T116" i="2"/>
  <c r="S116" i="2"/>
  <c r="J116" i="2"/>
  <c r="L116" i="2" s="1"/>
  <c r="R116" i="2" s="1"/>
  <c r="T115" i="2"/>
  <c r="S115" i="2"/>
  <c r="J115" i="2"/>
  <c r="L115" i="2" s="1"/>
  <c r="R115" i="2" s="1"/>
  <c r="J114" i="2"/>
  <c r="L114" i="2" s="1"/>
  <c r="AZ114" i="2" s="1"/>
  <c r="T113" i="2"/>
  <c r="J113" i="2"/>
  <c r="L113" i="2" s="1"/>
  <c r="S113" i="2" s="1"/>
  <c r="J112" i="2"/>
  <c r="L112" i="2" s="1"/>
  <c r="AZ112" i="2" s="1"/>
  <c r="S111" i="2"/>
  <c r="J111" i="2"/>
  <c r="L111" i="2" s="1"/>
  <c r="T111" i="2" s="1"/>
  <c r="J110" i="2"/>
  <c r="L110" i="2" s="1"/>
  <c r="AZ110" i="2" s="1"/>
  <c r="T109" i="2"/>
  <c r="S109" i="2"/>
  <c r="J109" i="2"/>
  <c r="L109" i="2" s="1"/>
  <c r="R109" i="2" s="1"/>
  <c r="T108" i="2"/>
  <c r="J108" i="2"/>
  <c r="L108" i="2" s="1"/>
  <c r="S108" i="2" s="1"/>
  <c r="R107" i="2"/>
  <c r="J107" i="2"/>
  <c r="L107" i="2" s="1"/>
  <c r="T107" i="2" s="1"/>
  <c r="T106" i="2"/>
  <c r="S106" i="2"/>
  <c r="R106" i="2"/>
  <c r="J106" i="2"/>
  <c r="L106" i="2" s="1"/>
  <c r="AO106" i="2" s="1"/>
  <c r="J105" i="2"/>
  <c r="L105" i="2" s="1"/>
  <c r="AZ105" i="2" s="1"/>
  <c r="T104" i="2"/>
  <c r="J104" i="2"/>
  <c r="L104" i="2" s="1"/>
  <c r="S104" i="2" s="1"/>
  <c r="T103" i="2"/>
  <c r="J103" i="2"/>
  <c r="L103" i="2" s="1"/>
  <c r="S103" i="2" s="1"/>
  <c r="R102" i="2"/>
  <c r="J102" i="2"/>
  <c r="L102" i="2" s="1"/>
  <c r="AY102" i="2" s="1"/>
  <c r="T101" i="2"/>
  <c r="J101" i="2"/>
  <c r="L101" i="2" s="1"/>
  <c r="S101" i="2" s="1"/>
  <c r="J100" i="2"/>
  <c r="L100" i="2" s="1"/>
  <c r="T100" i="2" s="1"/>
  <c r="T99" i="2"/>
  <c r="R99" i="2"/>
  <c r="J99" i="2"/>
  <c r="L99" i="2" s="1"/>
  <c r="S99" i="2" s="1"/>
  <c r="T98" i="2"/>
  <c r="R98" i="2"/>
  <c r="J98" i="2"/>
  <c r="L98" i="2" s="1"/>
  <c r="S98" i="2" s="1"/>
  <c r="R97" i="2"/>
  <c r="J97" i="2"/>
  <c r="L97" i="2" s="1"/>
  <c r="T97" i="2" s="1"/>
  <c r="R96" i="2"/>
  <c r="J96" i="2"/>
  <c r="L96" i="2" s="1"/>
  <c r="T96" i="2" s="1"/>
  <c r="T95" i="2"/>
  <c r="S95" i="2"/>
  <c r="J95" i="2"/>
  <c r="L95" i="2" s="1"/>
  <c r="R95" i="2" s="1"/>
  <c r="T94" i="2"/>
  <c r="S94" i="2"/>
  <c r="J94" i="2"/>
  <c r="L94" i="2" s="1"/>
  <c r="T93" i="2"/>
  <c r="J93" i="2"/>
  <c r="L93" i="2" s="1"/>
  <c r="S93" i="2" s="1"/>
  <c r="T92" i="2"/>
  <c r="J92" i="2"/>
  <c r="L92" i="2" s="1"/>
  <c r="S92" i="2" s="1"/>
  <c r="R91" i="2"/>
  <c r="J91" i="2"/>
  <c r="L91" i="2" s="1"/>
  <c r="T91" i="2" s="1"/>
  <c r="R90" i="2"/>
  <c r="J90" i="2"/>
  <c r="L90" i="2" s="1"/>
  <c r="T89" i="2"/>
  <c r="S89" i="2"/>
  <c r="J89" i="2"/>
  <c r="L89" i="2" s="1"/>
  <c r="R89" i="2" s="1"/>
  <c r="T88" i="2"/>
  <c r="S88" i="2"/>
  <c r="J88" i="2"/>
  <c r="L88" i="2" s="1"/>
  <c r="R88" i="2" s="1"/>
  <c r="T87" i="2"/>
  <c r="J87" i="2"/>
  <c r="L87" i="2" s="1"/>
  <c r="S87" i="2" s="1"/>
  <c r="T86" i="2"/>
  <c r="J86" i="2"/>
  <c r="L86" i="2" s="1"/>
  <c r="AK86" i="2" s="1"/>
  <c r="T85" i="2"/>
  <c r="R85" i="2"/>
  <c r="J85" i="2"/>
  <c r="L85" i="2" s="1"/>
  <c r="S85" i="2" s="1"/>
  <c r="T84" i="2"/>
  <c r="J84" i="2"/>
  <c r="L84" i="2" s="1"/>
  <c r="S84" i="2" s="1"/>
  <c r="T83" i="2"/>
  <c r="R83" i="2"/>
  <c r="J83" i="2"/>
  <c r="L83" i="2" s="1"/>
  <c r="S83" i="2" s="1"/>
  <c r="S82" i="2"/>
  <c r="J82" i="2"/>
  <c r="L82" i="2" s="1"/>
  <c r="AK82" i="2" s="1"/>
  <c r="J81" i="2"/>
  <c r="L81" i="2" s="1"/>
  <c r="T81" i="2" s="1"/>
  <c r="T80" i="2"/>
  <c r="J80" i="2"/>
  <c r="L80" i="2" s="1"/>
  <c r="S80" i="2" s="1"/>
  <c r="R79" i="2"/>
  <c r="J79" i="2"/>
  <c r="L79" i="2" s="1"/>
  <c r="T79" i="2" s="1"/>
  <c r="R78" i="2"/>
  <c r="J78" i="2"/>
  <c r="L78" i="2" s="1"/>
  <c r="T77" i="2"/>
  <c r="R77" i="2"/>
  <c r="J77" i="2"/>
  <c r="L77" i="2" s="1"/>
  <c r="S77" i="2" s="1"/>
  <c r="T76" i="2"/>
  <c r="S76" i="2"/>
  <c r="J76" i="2"/>
  <c r="L76" i="2" s="1"/>
  <c r="R76" i="2" s="1"/>
  <c r="T75" i="2"/>
  <c r="S75" i="2"/>
  <c r="J75" i="2"/>
  <c r="L75" i="2" s="1"/>
  <c r="R75" i="2" s="1"/>
  <c r="T74" i="2"/>
  <c r="R74" i="2"/>
  <c r="J74" i="2"/>
  <c r="L74" i="2" s="1"/>
  <c r="S74" i="2" s="1"/>
  <c r="T73" i="2"/>
  <c r="R73" i="2"/>
  <c r="J73" i="2"/>
  <c r="L73" i="2" s="1"/>
  <c r="S73" i="2" s="1"/>
  <c r="T72" i="2"/>
  <c r="R72" i="2"/>
  <c r="J72" i="2"/>
  <c r="L72" i="2" s="1"/>
  <c r="S72" i="2" s="1"/>
  <c r="R71" i="2"/>
  <c r="J71" i="2"/>
  <c r="L71" i="2" s="1"/>
  <c r="T71" i="2" s="1"/>
  <c r="R70" i="2"/>
  <c r="J70" i="2"/>
  <c r="L70" i="2" s="1"/>
  <c r="AR70" i="2" s="1"/>
  <c r="T69" i="2"/>
  <c r="R69" i="2"/>
  <c r="J69" i="2"/>
  <c r="L69" i="2" s="1"/>
  <c r="S69" i="2" s="1"/>
  <c r="R68" i="2"/>
  <c r="J68" i="2"/>
  <c r="L68" i="2" s="1"/>
  <c r="T68" i="2" s="1"/>
  <c r="R67" i="2"/>
  <c r="J67" i="2"/>
  <c r="L67" i="2" s="1"/>
  <c r="T67" i="2" s="1"/>
  <c r="T66" i="2"/>
  <c r="S66" i="2"/>
  <c r="J66" i="2"/>
  <c r="L66" i="2" s="1"/>
  <c r="R66" i="2" s="1"/>
  <c r="R65" i="2"/>
  <c r="J65" i="2"/>
  <c r="L65" i="2" s="1"/>
  <c r="T65" i="2" s="1"/>
  <c r="R64" i="2"/>
  <c r="J64" i="2"/>
  <c r="L64" i="2" s="1"/>
  <c r="T64" i="2" s="1"/>
  <c r="T63" i="2"/>
  <c r="R63" i="2"/>
  <c r="J63" i="2"/>
  <c r="L63" i="2" s="1"/>
  <c r="S63" i="2" s="1"/>
  <c r="T62" i="2"/>
  <c r="R62" i="2"/>
  <c r="J62" i="2"/>
  <c r="L62" i="2" s="1"/>
  <c r="T61" i="2"/>
  <c r="R61" i="2"/>
  <c r="J61" i="2"/>
  <c r="L61" i="2" s="1"/>
  <c r="S61" i="2" s="1"/>
  <c r="T60" i="2"/>
  <c r="R60" i="2"/>
  <c r="J60" i="2"/>
  <c r="L60" i="2" s="1"/>
  <c r="S60" i="2" s="1"/>
  <c r="S59" i="2"/>
  <c r="R59" i="2"/>
  <c r="J59" i="2"/>
  <c r="L59" i="2" s="1"/>
  <c r="T59" i="2" s="1"/>
  <c r="T58" i="2"/>
  <c r="S58" i="2"/>
  <c r="J58" i="2"/>
  <c r="L58" i="2" s="1"/>
  <c r="R58" i="2" s="1"/>
  <c r="T57" i="2"/>
  <c r="S57" i="2"/>
  <c r="J57" i="2"/>
  <c r="L57" i="2" s="1"/>
  <c r="R57" i="2" s="1"/>
  <c r="T56" i="2"/>
  <c r="S56" i="2"/>
  <c r="J56" i="2"/>
  <c r="L56" i="2" s="1"/>
  <c r="R56" i="2" s="1"/>
  <c r="T55" i="2"/>
  <c r="S55" i="2"/>
  <c r="J55" i="2"/>
  <c r="L55" i="2" s="1"/>
  <c r="R55" i="2" s="1"/>
  <c r="T54" i="2"/>
  <c r="S54" i="2"/>
  <c r="J54" i="2"/>
  <c r="L54" i="2" s="1"/>
  <c r="R54" i="2" s="1"/>
  <c r="T53" i="2"/>
  <c r="S53" i="2"/>
  <c r="J53" i="2"/>
  <c r="L53" i="2" s="1"/>
  <c r="R53" i="2" s="1"/>
  <c r="T52" i="2"/>
  <c r="S52" i="2"/>
  <c r="J52" i="2"/>
  <c r="L52" i="2" s="1"/>
  <c r="R52" i="2" s="1"/>
  <c r="T51" i="2"/>
  <c r="S51" i="2"/>
  <c r="J51" i="2"/>
  <c r="L51" i="2" s="1"/>
  <c r="R51" i="2" s="1"/>
  <c r="T50" i="2"/>
  <c r="S50" i="2"/>
  <c r="J50" i="2"/>
  <c r="L50" i="2" s="1"/>
  <c r="R50" i="2" s="1"/>
  <c r="T49" i="2"/>
  <c r="S49" i="2"/>
  <c r="J49" i="2"/>
  <c r="L49" i="2" s="1"/>
  <c r="R49" i="2" s="1"/>
  <c r="T48" i="2"/>
  <c r="S48" i="2"/>
  <c r="J48" i="2"/>
  <c r="L48" i="2" s="1"/>
  <c r="R48" i="2" s="1"/>
  <c r="T47" i="2"/>
  <c r="S47" i="2"/>
  <c r="J47" i="2"/>
  <c r="L47" i="2" s="1"/>
  <c r="R47" i="2" s="1"/>
  <c r="T46" i="2"/>
  <c r="S46" i="2"/>
  <c r="J46" i="2"/>
  <c r="L46" i="2" s="1"/>
  <c r="R46" i="2" s="1"/>
  <c r="T45" i="2"/>
  <c r="S45" i="2"/>
  <c r="J45" i="2"/>
  <c r="L45" i="2" s="1"/>
  <c r="R45" i="2" s="1"/>
  <c r="T44" i="2"/>
  <c r="S44" i="2"/>
  <c r="J44" i="2"/>
  <c r="L44" i="2" s="1"/>
  <c r="R44" i="2" s="1"/>
  <c r="T43" i="2"/>
  <c r="S43" i="2"/>
  <c r="J43" i="2"/>
  <c r="L43" i="2" s="1"/>
  <c r="R43" i="2" s="1"/>
  <c r="T42" i="2"/>
  <c r="S42" i="2"/>
  <c r="J42" i="2"/>
  <c r="L42" i="2" s="1"/>
  <c r="R42" i="2" s="1"/>
  <c r="T41" i="2"/>
  <c r="S41" i="2"/>
  <c r="J41" i="2"/>
  <c r="L41" i="2" s="1"/>
  <c r="R41" i="2" s="1"/>
  <c r="T40" i="2"/>
  <c r="S40" i="2"/>
  <c r="J40" i="2"/>
  <c r="L40" i="2" s="1"/>
  <c r="T39" i="2"/>
  <c r="S39" i="2"/>
  <c r="J39" i="2"/>
  <c r="L39" i="2" s="1"/>
  <c r="R39" i="2" s="1"/>
  <c r="T38" i="2"/>
  <c r="S38" i="2"/>
  <c r="J38" i="2"/>
  <c r="L38" i="2" s="1"/>
  <c r="R38" i="2" s="1"/>
  <c r="T37" i="2"/>
  <c r="S37" i="2"/>
  <c r="J37" i="2"/>
  <c r="L37" i="2" s="1"/>
  <c r="R37" i="2" s="1"/>
  <c r="T36" i="2"/>
  <c r="S36" i="2"/>
  <c r="J36" i="2"/>
  <c r="L36" i="2" s="1"/>
  <c r="R36" i="2" s="1"/>
  <c r="T35" i="2"/>
  <c r="S35" i="2"/>
  <c r="J35" i="2"/>
  <c r="L35" i="2" s="1"/>
  <c r="R35" i="2" s="1"/>
  <c r="T34" i="2"/>
  <c r="S34" i="2"/>
  <c r="J34" i="2"/>
  <c r="L34" i="2" s="1"/>
  <c r="R34" i="2" s="1"/>
  <c r="T33" i="2"/>
  <c r="S33" i="2"/>
  <c r="J33" i="2"/>
  <c r="L33" i="2" s="1"/>
  <c r="R33" i="2" s="1"/>
  <c r="T32" i="2"/>
  <c r="S32" i="2"/>
  <c r="J32" i="2"/>
  <c r="L32" i="2" s="1"/>
  <c r="R32" i="2" s="1"/>
  <c r="T31" i="2"/>
  <c r="S31" i="2"/>
  <c r="J31" i="2"/>
  <c r="L31" i="2" s="1"/>
  <c r="T30" i="2"/>
  <c r="S30" i="2"/>
  <c r="J30" i="2"/>
  <c r="L30" i="2" s="1"/>
  <c r="R30" i="2" s="1"/>
  <c r="T29" i="2"/>
  <c r="S29" i="2"/>
  <c r="J29" i="2"/>
  <c r="L29" i="2" s="1"/>
  <c r="R29" i="2" s="1"/>
  <c r="T28" i="2"/>
  <c r="S28" i="2"/>
  <c r="J28" i="2"/>
  <c r="L28" i="2" s="1"/>
  <c r="R28" i="2" s="1"/>
  <c r="T27" i="2"/>
  <c r="S27" i="2"/>
  <c r="J27" i="2"/>
  <c r="L27" i="2" s="1"/>
  <c r="R27" i="2" s="1"/>
  <c r="J26" i="2"/>
  <c r="L26" i="2" s="1"/>
  <c r="T26" i="2" s="1"/>
  <c r="J25" i="2"/>
  <c r="L25" i="2" s="1"/>
  <c r="AZ25" i="2" s="1"/>
  <c r="R24" i="2"/>
  <c r="J24" i="2"/>
  <c r="L24" i="2" s="1"/>
  <c r="T24" i="2" s="1"/>
  <c r="J23" i="2"/>
  <c r="L23" i="2" s="1"/>
  <c r="AZ23" i="2" s="1"/>
  <c r="T22" i="2"/>
  <c r="J22" i="2"/>
  <c r="L22" i="2" s="1"/>
  <c r="S22" i="2" s="1"/>
  <c r="J21" i="2"/>
  <c r="L21" i="2" s="1"/>
  <c r="AZ21" i="2" s="1"/>
  <c r="T20" i="2"/>
  <c r="R20" i="2"/>
  <c r="J20" i="2"/>
  <c r="L20" i="2" s="1"/>
  <c r="S20" i="2" s="1"/>
  <c r="J19" i="2"/>
  <c r="L19" i="2" s="1"/>
  <c r="AZ19" i="2" s="1"/>
  <c r="T18" i="2"/>
  <c r="S18" i="2"/>
  <c r="J18" i="2"/>
  <c r="L18" i="2" s="1"/>
  <c r="R18" i="2" s="1"/>
  <c r="T17" i="2"/>
  <c r="S17" i="2"/>
  <c r="J17" i="2"/>
  <c r="L17" i="2" s="1"/>
  <c r="R17" i="2" s="1"/>
  <c r="J16" i="2"/>
  <c r="L16" i="2" s="1"/>
  <c r="AZ16" i="2" s="1"/>
  <c r="T15" i="2"/>
  <c r="R15" i="2"/>
  <c r="J15" i="2"/>
  <c r="L15" i="2" s="1"/>
  <c r="S15" i="2" s="1"/>
  <c r="J14" i="2"/>
  <c r="L14" i="2" s="1"/>
  <c r="AZ14" i="2" s="1"/>
  <c r="T13" i="2"/>
  <c r="R13" i="2"/>
  <c r="J13" i="2"/>
  <c r="L13" i="2" s="1"/>
  <c r="S13" i="2" s="1"/>
  <c r="AX120" i="2" a="1"/>
  <c r="AX120" i="2" s="1"/>
  <c r="AW120" i="2" a="1"/>
  <c r="AW120" i="2" s="1"/>
  <c r="AV120" i="2" a="1"/>
  <c r="AV120" i="2" s="1"/>
  <c r="AU120" i="2" a="1"/>
  <c r="AU120" i="2" s="1"/>
  <c r="AQ120" i="2" a="1"/>
  <c r="AQ120" i="2" s="1"/>
  <c r="AP120" i="2"/>
  <c r="AN120" i="2"/>
  <c r="AL120" i="2"/>
  <c r="AJ120" i="2"/>
  <c r="AI120" i="2" a="1"/>
  <c r="AI120" i="2" s="1"/>
  <c r="AH120" i="2" a="1"/>
  <c r="AH120" i="2" s="1"/>
  <c r="AG120" i="2" a="1"/>
  <c r="AG120" i="2" s="1"/>
  <c r="AF120" i="2" a="1"/>
  <c r="AF120" i="2" s="1"/>
  <c r="AE120" i="2" a="1"/>
  <c r="AE120" i="2" s="1"/>
  <c r="AD120" i="2" a="1"/>
  <c r="AD120" i="2" s="1"/>
  <c r="AC120" i="2" a="1"/>
  <c r="AC120" i="2" s="1"/>
  <c r="AB120" i="2" a="1"/>
  <c r="AB120" i="2" s="1"/>
  <c r="Z120" i="2"/>
  <c r="Y120" i="2"/>
  <c r="X120" i="2"/>
  <c r="W120" i="2"/>
  <c r="V120" i="2"/>
  <c r="U120" i="2"/>
  <c r="Q120" i="2"/>
  <c r="P120" i="2"/>
  <c r="O120" i="2"/>
  <c r="J12" i="2"/>
  <c r="L12" i="2" s="1"/>
  <c r="AZ12" i="2" s="1"/>
  <c r="AZ120" i="2" s="1" a="1"/>
  <c r="AA6" i="2"/>
  <c r="AA5" i="2"/>
  <c r="AA4" i="2"/>
  <c r="AA3" i="2"/>
  <c r="AA2" i="2"/>
  <c r="R31" i="2" l="1"/>
  <c r="AK31" i="2"/>
  <c r="AY31" i="2"/>
  <c r="T90" i="2"/>
  <c r="AM90" i="2"/>
  <c r="AO90" i="2"/>
  <c r="AR90" i="2"/>
  <c r="AY90" i="2"/>
  <c r="R94" i="2"/>
  <c r="AK94" i="2"/>
  <c r="AY94" i="2"/>
  <c r="R40" i="2"/>
  <c r="AR40" i="2"/>
  <c r="AY40" i="2"/>
  <c r="AK40" i="2"/>
  <c r="T78" i="2"/>
  <c r="AY78" i="2"/>
  <c r="AM78" i="2"/>
  <c r="AO78" i="2"/>
  <c r="S62" i="2"/>
  <c r="AY62" i="2"/>
  <c r="AM62" i="2"/>
  <c r="AM119" i="2"/>
  <c r="AO118" i="2"/>
  <c r="AK116" i="2"/>
  <c r="AK115" i="2"/>
  <c r="AK113" i="2"/>
  <c r="AK111" i="2"/>
  <c r="AY109" i="2"/>
  <c r="AM108" i="2"/>
  <c r="AO107" i="2"/>
  <c r="AM104" i="2"/>
  <c r="AM103" i="2"/>
  <c r="AO102" i="2"/>
  <c r="AM101" i="2"/>
  <c r="AO100" i="2"/>
  <c r="AY99" i="2"/>
  <c r="AM98" i="2"/>
  <c r="AT97" i="2"/>
  <c r="AM96" i="2"/>
  <c r="AK95" i="2"/>
  <c r="AK92" i="2"/>
  <c r="AR91" i="2"/>
  <c r="AM84" i="2"/>
  <c r="AT83" i="2"/>
  <c r="AY82" i="2"/>
  <c r="AK81" i="2"/>
  <c r="AK80" i="2"/>
  <c r="AO79" i="2"/>
  <c r="AY77" i="2"/>
  <c r="AY76" i="2"/>
  <c r="AK75" i="2"/>
  <c r="AM72" i="2"/>
  <c r="AY71" i="2"/>
  <c r="AO70" i="2"/>
  <c r="AY68" i="2"/>
  <c r="AO67" i="2"/>
  <c r="AY66" i="2"/>
  <c r="AO64" i="2"/>
  <c r="AY63" i="2"/>
  <c r="AR61" i="2"/>
  <c r="AY60" i="2"/>
  <c r="AY59" i="2"/>
  <c r="AY57" i="2"/>
  <c r="AY56" i="2"/>
  <c r="AY55" i="2"/>
  <c r="AY54" i="2"/>
  <c r="AY53" i="2"/>
  <c r="AY50" i="2"/>
  <c r="AY49" i="2"/>
  <c r="AY48" i="2"/>
  <c r="AR39" i="2"/>
  <c r="AR38" i="2"/>
  <c r="AY37" i="2"/>
  <c r="AY36" i="2"/>
  <c r="AK34" i="2"/>
  <c r="AK33" i="2"/>
  <c r="AK32" i="2"/>
  <c r="AK29" i="2"/>
  <c r="AK28" i="2"/>
  <c r="AK27" i="2"/>
  <c r="AK26" i="2"/>
  <c r="AO24" i="2"/>
  <c r="AK22" i="2"/>
  <c r="AR20" i="2"/>
  <c r="AY18" i="2"/>
  <c r="AK17" i="2"/>
  <c r="AS15" i="2"/>
  <c r="AY13" i="2"/>
  <c r="AK119" i="2"/>
  <c r="AM118" i="2"/>
  <c r="AK109" i="2"/>
  <c r="AK108" i="2"/>
  <c r="AM107" i="2"/>
  <c r="AK104" i="2"/>
  <c r="AK103" i="2"/>
  <c r="AM102" i="2"/>
  <c r="AK101" i="2"/>
  <c r="AM100" i="2"/>
  <c r="AM99" i="2"/>
  <c r="AO97" i="2"/>
  <c r="AY96" i="2"/>
  <c r="AY93" i="2"/>
  <c r="AY92" i="2"/>
  <c r="AO91" i="2"/>
  <c r="AY87" i="2"/>
  <c r="AY86" i="2"/>
  <c r="AY85" i="2"/>
  <c r="AY84" i="2"/>
  <c r="AK84" i="2"/>
  <c r="AM83" i="2"/>
  <c r="AR82" i="2"/>
  <c r="AY81" i="2"/>
  <c r="AM79" i="2"/>
  <c r="AM77" i="2"/>
  <c r="AK76" i="2"/>
  <c r="AY73" i="2"/>
  <c r="AR71" i="2"/>
  <c r="AY70" i="2"/>
  <c r="AM70" i="2"/>
  <c r="AY69" i="2"/>
  <c r="AR68" i="2"/>
  <c r="AY67" i="2"/>
  <c r="AM67" i="2"/>
  <c r="AK66" i="2"/>
  <c r="AT65" i="2"/>
  <c r="AM64" i="2"/>
  <c r="AM63" i="2"/>
  <c r="AM61" i="2"/>
  <c r="AR60" i="2"/>
  <c r="AR59" i="2"/>
  <c r="AY58" i="2"/>
  <c r="AR57" i="2"/>
  <c r="AR56" i="2"/>
  <c r="AS55" i="2"/>
  <c r="AS54" i="2"/>
  <c r="AK53" i="2"/>
  <c r="AY51" i="2"/>
  <c r="AR50" i="2"/>
  <c r="AK49" i="2"/>
  <c r="AK48" i="2"/>
  <c r="AY46" i="2"/>
  <c r="AY45" i="2"/>
  <c r="AY43" i="2"/>
  <c r="AY42" i="2"/>
  <c r="AY41" i="2"/>
  <c r="AK39" i="2"/>
  <c r="AK38" i="2"/>
  <c r="AT37" i="2"/>
  <c r="AT36" i="2"/>
  <c r="AY35" i="2"/>
  <c r="AR26" i="2"/>
  <c r="AY24" i="2"/>
  <c r="AM24" i="2"/>
  <c r="AY22" i="2"/>
  <c r="AM20" i="2"/>
  <c r="AK18" i="2"/>
  <c r="AM15" i="2"/>
  <c r="AM13" i="2"/>
  <c r="AK100" i="2"/>
  <c r="AM97" i="2"/>
  <c r="AR96" i="2"/>
  <c r="AM93" i="2"/>
  <c r="AS92" i="2"/>
  <c r="AM91" i="2"/>
  <c r="AY89" i="2"/>
  <c r="AY88" i="2"/>
  <c r="AM87" i="2"/>
  <c r="AM86" i="2"/>
  <c r="AR85" i="2"/>
  <c r="AO82" i="2"/>
  <c r="AO81" i="2"/>
  <c r="AY80" i="2"/>
  <c r="AY79" i="2"/>
  <c r="AY74" i="2"/>
  <c r="AT73" i="2"/>
  <c r="AY72" i="2"/>
  <c r="AO71" i="2"/>
  <c r="AM69" i="2"/>
  <c r="AO68" i="2"/>
  <c r="AO65" i="2"/>
  <c r="AY64" i="2"/>
  <c r="AM60" i="2"/>
  <c r="AO59" i="2"/>
  <c r="AR58" i="2"/>
  <c r="AK57" i="2"/>
  <c r="AK56" i="2"/>
  <c r="AK55" i="2"/>
  <c r="AK54" i="2"/>
  <c r="AY52" i="2"/>
  <c r="AR51" i="2"/>
  <c r="AK50" i="2"/>
  <c r="AY47" i="2"/>
  <c r="AR46" i="2"/>
  <c r="AR45" i="2"/>
  <c r="AY44" i="2"/>
  <c r="AK43" i="2"/>
  <c r="AR42" i="2"/>
  <c r="AR41" i="2"/>
  <c r="AK37" i="2"/>
  <c r="AK36" i="2"/>
  <c r="AT35" i="2"/>
  <c r="AY34" i="2"/>
  <c r="AY33" i="2"/>
  <c r="AY30" i="2"/>
  <c r="AY29" i="2"/>
  <c r="AY28" i="2"/>
  <c r="AY27" i="2"/>
  <c r="AO26" i="2"/>
  <c r="AR22" i="2"/>
  <c r="AY119" i="2"/>
  <c r="AY115" i="2"/>
  <c r="AM113" i="2"/>
  <c r="AO111" i="2"/>
  <c r="AY108" i="2"/>
  <c r="AY107" i="2"/>
  <c r="AY104" i="2"/>
  <c r="AY103" i="2"/>
  <c r="AY101" i="2"/>
  <c r="AY100" i="2"/>
  <c r="AY98" i="2"/>
  <c r="AY97" i="2"/>
  <c r="AO96" i="2"/>
  <c r="AY95" i="2"/>
  <c r="AK93" i="2"/>
  <c r="AM92" i="2"/>
  <c r="AY91" i="2"/>
  <c r="AK89" i="2"/>
  <c r="AK88" i="2"/>
  <c r="AK87" i="2"/>
  <c r="AM85" i="2"/>
  <c r="AT84" i="2"/>
  <c r="AY83" i="2"/>
  <c r="AM81" i="2"/>
  <c r="AM80" i="2"/>
  <c r="AR79" i="2"/>
  <c r="AY75" i="2"/>
  <c r="AM74" i="2"/>
  <c r="AM73" i="2"/>
  <c r="AT72" i="2"/>
  <c r="AM71" i="2"/>
  <c r="AM68" i="2"/>
  <c r="AS67" i="2"/>
  <c r="AY65" i="2"/>
  <c r="AM65" i="2"/>
  <c r="AR64" i="2"/>
  <c r="AY61" i="2"/>
  <c r="AK58" i="2"/>
  <c r="AK52" i="2"/>
  <c r="AK51" i="2"/>
  <c r="AK47" i="2"/>
  <c r="AK46" i="2"/>
  <c r="AK45" i="2"/>
  <c r="AK44" i="2"/>
  <c r="AK42" i="2"/>
  <c r="AK41" i="2"/>
  <c r="AY39" i="2"/>
  <c r="AY38" i="2"/>
  <c r="AK35" i="2"/>
  <c r="AR34" i="2"/>
  <c r="AR33" i="2"/>
  <c r="AY32" i="2"/>
  <c r="AK30" i="2"/>
  <c r="AR29" i="2"/>
  <c r="AR27" i="2"/>
  <c r="AY26" i="2"/>
  <c r="AM26" i="2"/>
  <c r="AR24" i="2"/>
  <c r="AM22" i="2"/>
  <c r="AY20" i="2"/>
  <c r="AY17" i="2"/>
  <c r="AY15" i="2"/>
  <c r="AZ120" i="2"/>
  <c r="T70" i="2"/>
  <c r="AA70" i="2" s="1"/>
  <c r="S70" i="2"/>
  <c r="T102" i="2"/>
  <c r="S102" i="2"/>
  <c r="S86" i="2"/>
  <c r="R86" i="2"/>
  <c r="T118" i="2"/>
  <c r="S118" i="2"/>
  <c r="T82" i="2"/>
  <c r="R82" i="2"/>
  <c r="R22" i="2"/>
  <c r="AA43" i="2"/>
  <c r="AA55" i="2"/>
  <c r="S64" i="2"/>
  <c r="R80" i="2"/>
  <c r="AA80" i="2" s="1"/>
  <c r="S91" i="2"/>
  <c r="S96" i="2"/>
  <c r="R101" i="2"/>
  <c r="S24" i="2"/>
  <c r="AA24" i="2" s="1"/>
  <c r="R26" i="2"/>
  <c r="S26" i="2"/>
  <c r="S68" i="2"/>
  <c r="S79" i="2"/>
  <c r="AA79" i="2" s="1"/>
  <c r="R84" i="2"/>
  <c r="AA84" i="2" s="1"/>
  <c r="S90" i="2"/>
  <c r="AA90" i="2" s="1"/>
  <c r="R100" i="2"/>
  <c r="S100" i="2"/>
  <c r="R108" i="2"/>
  <c r="R111" i="2"/>
  <c r="AA111" i="2" s="1"/>
  <c r="R113" i="2"/>
  <c r="R119" i="2"/>
  <c r="AA119" i="2" s="1"/>
  <c r="S67" i="2"/>
  <c r="S78" i="2"/>
  <c r="R93" i="2"/>
  <c r="R104" i="2"/>
  <c r="AA104" i="2" s="1"/>
  <c r="S107" i="2"/>
  <c r="AA107" i="2" s="1"/>
  <c r="S65" i="2"/>
  <c r="S71" i="2"/>
  <c r="AA71" i="2" s="1"/>
  <c r="R81" i="2"/>
  <c r="S81" i="2"/>
  <c r="R87" i="2"/>
  <c r="AA87" i="2" s="1"/>
  <c r="R92" i="2"/>
  <c r="S97" i="2"/>
  <c r="R103" i="2"/>
  <c r="AA103" i="2" s="1"/>
  <c r="AA16" i="2"/>
  <c r="BA16" i="2" s="1" a="1"/>
  <c r="BA16" i="2" s="1"/>
  <c r="AA32" i="2"/>
  <c r="AA63" i="2"/>
  <c r="AA95" i="2"/>
  <c r="AA44" i="2"/>
  <c r="AA56" i="2"/>
  <c r="AA72" i="2"/>
  <c r="AA74" i="2"/>
  <c r="AA88" i="2"/>
  <c r="AA106" i="2"/>
  <c r="BA106" i="2" s="1" a="1"/>
  <c r="BA106" i="2" s="1"/>
  <c r="AA64" i="2"/>
  <c r="AA66" i="2"/>
  <c r="AA96" i="2"/>
  <c r="AA98" i="2"/>
  <c r="AA112" i="2"/>
  <c r="BA112" i="2" s="1" a="1"/>
  <c r="BA112" i="2" s="1"/>
  <c r="AA114" i="2"/>
  <c r="BA114" i="2" s="1" a="1"/>
  <c r="BA114" i="2" s="1"/>
  <c r="AA28" i="2"/>
  <c r="AA35" i="2"/>
  <c r="AA38" i="2"/>
  <c r="AA41" i="2"/>
  <c r="AA45" i="2"/>
  <c r="AA51" i="2"/>
  <c r="AA52" i="2"/>
  <c r="AA54" i="2"/>
  <c r="AA59" i="2"/>
  <c r="AA60" i="2"/>
  <c r="AA62" i="2"/>
  <c r="AA67" i="2"/>
  <c r="AA68" i="2"/>
  <c r="AA75" i="2"/>
  <c r="AA76" i="2"/>
  <c r="AA78" i="2"/>
  <c r="AA83" i="2"/>
  <c r="AA86" i="2"/>
  <c r="AA91" i="2"/>
  <c r="AA92" i="2"/>
  <c r="AA94" i="2"/>
  <c r="AA99" i="2"/>
  <c r="AA100" i="2"/>
  <c r="AA108" i="2"/>
  <c r="AA110" i="2"/>
  <c r="BA110" i="2" s="1" a="1"/>
  <c r="BA110" i="2" s="1"/>
  <c r="AA115" i="2"/>
  <c r="AA116" i="2"/>
  <c r="AA118" i="2"/>
  <c r="AA47" i="2"/>
  <c r="AA58" i="2"/>
  <c r="AA20" i="2"/>
  <c r="AA12" i="2"/>
  <c r="BA12" i="2" s="1" a="1"/>
  <c r="BA12" i="2" s="1"/>
  <c r="AA13" i="2"/>
  <c r="AA14" i="2"/>
  <c r="BA14" i="2" s="1" a="1"/>
  <c r="BA14" i="2" s="1"/>
  <c r="AA19" i="2"/>
  <c r="BA19" i="2" s="1" a="1"/>
  <c r="BA19" i="2" s="1"/>
  <c r="AA21" i="2"/>
  <c r="BA21" i="2" s="1" a="1"/>
  <c r="BA21" i="2" s="1"/>
  <c r="AA22" i="2"/>
  <c r="AA27" i="2"/>
  <c r="AA29" i="2"/>
  <c r="AA30" i="2"/>
  <c r="AA39" i="2"/>
  <c r="AA42" i="2"/>
  <c r="AA53" i="2"/>
  <c r="AA61" i="2"/>
  <c r="AA69" i="2"/>
  <c r="AA77" i="2"/>
  <c r="AA85" i="2"/>
  <c r="AA93" i="2"/>
  <c r="AA101" i="2"/>
  <c r="AA109" i="2"/>
  <c r="AA117" i="2"/>
  <c r="BA117" i="2" s="1" a="1"/>
  <c r="BA117" i="2" s="1"/>
  <c r="AA48" i="2"/>
  <c r="AA15" i="2"/>
  <c r="AA17" i="2"/>
  <c r="AA18" i="2"/>
  <c r="AA23" i="2"/>
  <c r="BA23" i="2" s="1" a="1"/>
  <c r="BA23" i="2" s="1"/>
  <c r="AA25" i="2"/>
  <c r="BA25" i="2" s="1" a="1"/>
  <c r="BA25" i="2" s="1"/>
  <c r="AA26" i="2"/>
  <c r="AA31" i="2"/>
  <c r="AA33" i="2"/>
  <c r="AA34" i="2"/>
  <c r="AA37" i="2"/>
  <c r="AA46" i="2"/>
  <c r="AA49" i="2"/>
  <c r="AA57" i="2"/>
  <c r="AA65" i="2"/>
  <c r="AA73" i="2"/>
  <c r="AA89" i="2"/>
  <c r="AA97" i="2"/>
  <c r="AA105" i="2"/>
  <c r="BA105" i="2" s="1" a="1"/>
  <c r="BA105" i="2" s="1"/>
  <c r="AA113" i="2"/>
  <c r="AA36" i="2"/>
  <c r="AA40" i="2"/>
  <c r="AA50" i="2"/>
  <c r="AA81" i="2" l="1"/>
  <c r="AA102" i="2"/>
  <c r="BA86" i="2" a="1"/>
  <c r="BA86" i="2" s="1"/>
  <c r="BA45" i="2" a="1"/>
  <c r="BA45" i="2" s="1"/>
  <c r="BA52" i="2" a="1"/>
  <c r="BA52" i="2" s="1"/>
  <c r="BA65" i="2" a="1"/>
  <c r="BA65" i="2" s="1"/>
  <c r="BA71" i="2" a="1"/>
  <c r="BA71" i="2" s="1"/>
  <c r="BA88" i="2" a="1"/>
  <c r="BA88" i="2" s="1"/>
  <c r="BA93" i="2" a="1"/>
  <c r="BA93" i="2" s="1"/>
  <c r="BA36" i="2" a="1"/>
  <c r="BA36" i="2" s="1"/>
  <c r="BA43" i="2" a="1"/>
  <c r="BA43" i="2" s="1"/>
  <c r="BA54" i="2" a="1"/>
  <c r="BA54" i="2" s="1"/>
  <c r="BA91" i="2" a="1"/>
  <c r="BA91" i="2" s="1"/>
  <c r="BA97" i="2" a="1"/>
  <c r="BA97" i="2" s="1"/>
  <c r="BA18" i="2" a="1"/>
  <c r="BA18" i="2" s="1"/>
  <c r="BA48" i="2" a="1"/>
  <c r="BA48" i="2" s="1"/>
  <c r="BA53" i="2" a="1"/>
  <c r="BA53" i="2" s="1"/>
  <c r="BA61" i="2" a="1"/>
  <c r="BA61" i="2" s="1"/>
  <c r="BA66" i="2" a="1"/>
  <c r="BA66" i="2" s="1"/>
  <c r="BA102" i="2" a="1"/>
  <c r="BA102" i="2" s="1"/>
  <c r="BA108" i="2" a="1"/>
  <c r="BA108" i="2" s="1"/>
  <c r="BA27" i="2" a="1"/>
  <c r="BA27" i="2" s="1"/>
  <c r="BA33" i="2" a="1"/>
  <c r="BA33" i="2" s="1"/>
  <c r="BA72" i="2" a="1"/>
  <c r="BA72" i="2" s="1"/>
  <c r="BA95" i="2" a="1"/>
  <c r="BA95" i="2" s="1"/>
  <c r="BA116" i="2" a="1"/>
  <c r="BA116" i="2" s="1"/>
  <c r="BA90" i="2" a="1"/>
  <c r="BA90" i="2" s="1"/>
  <c r="BA41" i="2" a="1"/>
  <c r="BA41" i="2" s="1"/>
  <c r="BA46" i="2" a="1"/>
  <c r="BA46" i="2" s="1"/>
  <c r="BA58" i="2" a="1"/>
  <c r="BA58" i="2" s="1"/>
  <c r="BA89" i="2" a="1"/>
  <c r="BA89" i="2" s="1"/>
  <c r="BA37" i="2" a="1"/>
  <c r="BA37" i="2" s="1"/>
  <c r="BA50" i="2" a="1"/>
  <c r="BA50" i="2" s="1"/>
  <c r="BA55" i="2" a="1"/>
  <c r="BA55" i="2" s="1"/>
  <c r="BA59" i="2" a="1"/>
  <c r="BA59" i="2" s="1"/>
  <c r="BA100" i="2" a="1"/>
  <c r="BA100" i="2" s="1"/>
  <c r="BA20" i="2" a="1"/>
  <c r="BA20" i="2" s="1"/>
  <c r="BA38" i="2" a="1"/>
  <c r="BA38" i="2" s="1"/>
  <c r="BA49" i="2" a="1"/>
  <c r="BA49" i="2" s="1"/>
  <c r="BA63" i="2" a="1"/>
  <c r="BA63" i="2" s="1"/>
  <c r="BA67" i="2" a="1"/>
  <c r="BA67" i="2" s="1"/>
  <c r="BA70" i="2" a="1"/>
  <c r="BA70" i="2" s="1"/>
  <c r="BA76" i="2" a="1"/>
  <c r="BA76" i="2" s="1"/>
  <c r="BA99" i="2" a="1"/>
  <c r="BA99" i="2" s="1"/>
  <c r="BA103" i="2" a="1"/>
  <c r="BA103" i="2" s="1"/>
  <c r="BA109" i="2" a="1"/>
  <c r="BA109" i="2" s="1"/>
  <c r="BA22" i="2" a="1"/>
  <c r="BA22" i="2" s="1"/>
  <c r="BA28" i="2" a="1"/>
  <c r="BA28" i="2" s="1"/>
  <c r="BA34" i="2" a="1"/>
  <c r="BA34" i="2" s="1"/>
  <c r="BA75" i="2" a="1"/>
  <c r="BA75" i="2" s="1"/>
  <c r="BA80" i="2" a="1"/>
  <c r="BA80" i="2" s="1"/>
  <c r="BA96" i="2" a="1"/>
  <c r="BA96" i="2" s="1"/>
  <c r="BA111" i="2" a="1"/>
  <c r="BA111" i="2" s="1"/>
  <c r="BA30" i="2" a="1"/>
  <c r="BA30" i="2" s="1"/>
  <c r="BA35" i="2" a="1"/>
  <c r="BA35" i="2" s="1"/>
  <c r="BA42" i="2" a="1"/>
  <c r="BA42" i="2" s="1"/>
  <c r="BA47" i="2" a="1"/>
  <c r="BA47" i="2" s="1"/>
  <c r="BA73" i="2" a="1"/>
  <c r="BA73" i="2" s="1"/>
  <c r="BA85" i="2" a="1"/>
  <c r="BA85" i="2" s="1"/>
  <c r="BA56" i="2" a="1"/>
  <c r="BA56" i="2" s="1"/>
  <c r="BA60" i="2" a="1"/>
  <c r="BA60" i="2" s="1"/>
  <c r="BA69" i="2" a="1"/>
  <c r="BA69" i="2" s="1"/>
  <c r="BA13" i="2" a="1"/>
  <c r="BA13" i="2" s="1"/>
  <c r="BA39" i="2" a="1"/>
  <c r="BA39" i="2" s="1"/>
  <c r="BA64" i="2" a="1"/>
  <c r="BA64" i="2" s="1"/>
  <c r="BA77" i="2" a="1"/>
  <c r="BA77" i="2" s="1"/>
  <c r="BA83" i="2" a="1"/>
  <c r="BA83" i="2" s="1"/>
  <c r="BA104" i="2" a="1"/>
  <c r="BA104" i="2" s="1"/>
  <c r="BA118" i="2" a="1"/>
  <c r="BA118" i="2" s="1"/>
  <c r="BA17" i="2" a="1"/>
  <c r="BA17" i="2" s="1"/>
  <c r="BA29" i="2" a="1"/>
  <c r="BA29" i="2" s="1"/>
  <c r="BA81" i="2" a="1"/>
  <c r="BA81" i="2" s="1"/>
  <c r="BA113" i="2" a="1"/>
  <c r="BA113" i="2" s="1"/>
  <c r="BA40" i="2" a="1"/>
  <c r="BA40" i="2" s="1"/>
  <c r="BA44" i="2" a="1"/>
  <c r="BA44" i="2" s="1"/>
  <c r="BA51" i="2" a="1"/>
  <c r="BA51" i="2" s="1"/>
  <c r="BA68" i="2" a="1"/>
  <c r="BA68" i="2" s="1"/>
  <c r="BA74" i="2" a="1"/>
  <c r="BA74" i="2" s="1"/>
  <c r="BA87" i="2" a="1"/>
  <c r="BA87" i="2" s="1"/>
  <c r="BA57" i="2" a="1"/>
  <c r="BA57" i="2" s="1"/>
  <c r="BA15" i="2" a="1"/>
  <c r="BA15" i="2" s="1"/>
  <c r="BA24" i="2" a="1"/>
  <c r="BA24" i="2" s="1"/>
  <c r="BA79" i="2" a="1"/>
  <c r="BA79" i="2" s="1"/>
  <c r="BA84" i="2" a="1"/>
  <c r="BA84" i="2" s="1"/>
  <c r="BA101" i="2" a="1"/>
  <c r="BA101" i="2" s="1"/>
  <c r="BA107" i="2" a="1"/>
  <c r="BA107" i="2" s="1"/>
  <c r="BA119" i="2" a="1"/>
  <c r="BA119" i="2" s="1"/>
  <c r="BA26" i="2" a="1"/>
  <c r="BA26" i="2" s="1"/>
  <c r="BA32" i="2" a="1"/>
  <c r="BA32" i="2" s="1"/>
  <c r="BA92" i="2" a="1"/>
  <c r="BA92" i="2" s="1"/>
  <c r="BA98" i="2" a="1"/>
  <c r="BA98" i="2" s="1"/>
  <c r="BA115" i="2" a="1"/>
  <c r="BA115" i="2" s="1"/>
  <c r="BA62" i="2" a="1"/>
  <c r="BA62" i="2" s="1"/>
  <c r="BA78" i="2" a="1"/>
  <c r="BA78" i="2" s="1"/>
  <c r="BA94" i="2" a="1"/>
  <c r="BA94" i="2" s="1"/>
  <c r="BA31" i="2" a="1"/>
  <c r="BA31" i="2" s="1"/>
  <c r="T120" i="2"/>
  <c r="AA82" i="2"/>
  <c r="BA82" i="2" s="1" a="1"/>
  <c r="BA82" i="2" s="1"/>
  <c r="S120" i="2"/>
  <c r="R120" i="2"/>
  <c r="AS120" i="2" a="1"/>
  <c r="AS120" i="2" s="1"/>
  <c r="AM120" i="2" a="1"/>
  <c r="AM120" i="2" s="1"/>
  <c r="AK120" i="2" a="1"/>
  <c r="AK120" i="2" s="1"/>
  <c r="AO120" i="2" a="1"/>
  <c r="AO120" i="2" s="1"/>
  <c r="AT120" i="2" a="1"/>
  <c r="AT120" i="2" s="1"/>
  <c r="AY120" i="2" a="1"/>
  <c r="AY120" i="2" s="1"/>
  <c r="AR120" i="2" a="1"/>
  <c r="AR120" i="2" s="1"/>
  <c r="AA120" i="2"/>
  <c r="BA120" i="2" l="1" a="1"/>
  <c r="BA120" i="2" s="1"/>
</calcChain>
</file>

<file path=xl/sharedStrings.xml><?xml version="1.0" encoding="utf-8"?>
<sst xmlns="http://schemas.openxmlformats.org/spreadsheetml/2006/main" count="792" uniqueCount="272">
  <si>
    <t>Утверждаю:</t>
  </si>
  <si>
    <t>№</t>
  </si>
  <si>
    <t>ПОКАЗАТЕЛИ НА НАЧАЛО УЧ.ГОДА</t>
  </si>
  <si>
    <t>I-IV</t>
  </si>
  <si>
    <t>I-IV гим.</t>
  </si>
  <si>
    <t>V-IX гим.</t>
  </si>
  <si>
    <t>X-XI</t>
  </si>
  <si>
    <t>X-XI гим.</t>
  </si>
  <si>
    <t>ИТОГО</t>
  </si>
  <si>
    <t>Зам. руководителя ОО г. Караганды</t>
  </si>
  <si>
    <t>_______________</t>
  </si>
  <si>
    <t xml:space="preserve">А. Б. Бактыбаев </t>
  </si>
  <si>
    <t>ТАРИФИКАЦИОННЫЙ СПИСОК</t>
  </si>
  <si>
    <t>Общее число часов преподавательской работы в неделю по тарификации, в т. ч.</t>
  </si>
  <si>
    <t>а)</t>
  </si>
  <si>
    <t>Число часов по учебному плану</t>
  </si>
  <si>
    <t>б)</t>
  </si>
  <si>
    <t>Число дополнительных часов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</si>
  <si>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</si>
  <si>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</si>
  <si>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</si>
  <si>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</si>
  <si>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</si>
  <si>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</si>
  <si>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</si>
  <si>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</si>
  <si>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</si>
  <si>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</si>
  <si>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новый
коэф</t>
  </si>
  <si>
    <t>новая
ставка</t>
  </si>
  <si>
    <t>к-во ставок</t>
  </si>
  <si>
    <t>БДО</t>
  </si>
  <si>
    <t>число часов  в неделю</t>
  </si>
  <si>
    <t>зарплата в месяц</t>
  </si>
  <si>
    <t>доп. за пров.тетр.</t>
  </si>
  <si>
    <t>ИТОГО пед. з/пл. в мес.</t>
  </si>
  <si>
    <t>дополнительная оплата</t>
  </si>
  <si>
    <t>оклад</t>
  </si>
  <si>
    <t>ВСЕГО</t>
  </si>
  <si>
    <t>I-IV класс гим.</t>
  </si>
  <si>
    <t>V-IX класс гим.</t>
  </si>
  <si>
    <t>X-XI класс
гим.</t>
  </si>
  <si>
    <t>V-IX</t>
  </si>
  <si>
    <t>НИШ</t>
  </si>
  <si>
    <t>канд. наук</t>
  </si>
  <si>
    <t>кл. рук-во</t>
  </si>
  <si>
    <t>зав. кабин.</t>
  </si>
  <si>
    <t>обуч н/д</t>
  </si>
  <si>
    <t>гимназич.</t>
  </si>
  <si>
    <t>обн. сод. 1-4 кл.</t>
  </si>
  <si>
    <t>обн. сод. 5-9 кл.</t>
  </si>
  <si>
    <t>обн. сод. 10-11 кл.</t>
  </si>
  <si>
    <t>пед. мастерство</t>
  </si>
  <si>
    <t>преп. на англ. 200%</t>
  </si>
  <si>
    <t>преп. на англ. 100%</t>
  </si>
  <si>
    <t>магистр</t>
  </si>
  <si>
    <t>наставни-чество</t>
  </si>
  <si>
    <t>надб. 10%</t>
  </si>
  <si>
    <t>н/час</t>
  </si>
  <si>
    <t>сумма</t>
  </si>
  <si>
    <t>часы</t>
  </si>
  <si>
    <t>мастер</t>
  </si>
  <si>
    <t>исслед.</t>
  </si>
  <si>
    <t>эксперт</t>
  </si>
  <si>
    <t>модератор</t>
  </si>
  <si>
    <t>ВСЕГО:</t>
  </si>
  <si>
    <t>Главный бухгалтер</t>
  </si>
  <si>
    <t>учителей и других работников Гимназия №9</t>
  </si>
  <si>
    <t xml:space="preserve">Адрес: 100011, г.Караганда, 12 микрорайон, дом 27 </t>
  </si>
  <si>
    <t>Директор</t>
  </si>
  <si>
    <t>Число классов на 01.09.20 г.</t>
  </si>
  <si>
    <t>Число учащихся на 01.09.20 г.</t>
  </si>
  <si>
    <t>01 сентября 2020</t>
  </si>
  <si>
    <t>Бартош С. Н.</t>
  </si>
  <si>
    <t>Оспанова О. А.</t>
  </si>
  <si>
    <t>Бартош С.Н.</t>
  </si>
  <si>
    <t>директор</t>
  </si>
  <si>
    <t>в.о.</t>
  </si>
  <si>
    <t>б/к</t>
  </si>
  <si>
    <t>36л</t>
  </si>
  <si>
    <t>A1</t>
  </si>
  <si>
    <t>3</t>
  </si>
  <si>
    <t>уч. физики</t>
  </si>
  <si>
    <t>в</t>
  </si>
  <si>
    <t>B2</t>
  </si>
  <si>
    <t>1</t>
  </si>
  <si>
    <t>Шингиреева Е.Д.</t>
  </si>
  <si>
    <t>зам.дир. по проф.</t>
  </si>
  <si>
    <t>21л</t>
  </si>
  <si>
    <t>3-1</t>
  </si>
  <si>
    <t>уч.рус.яз.и литер.</t>
  </si>
  <si>
    <t>2</t>
  </si>
  <si>
    <t>Рахимова С.Е.</t>
  </si>
  <si>
    <t>зам. дир. по ВР</t>
  </si>
  <si>
    <t>27л</t>
  </si>
  <si>
    <t>уч. нач. кл.</t>
  </si>
  <si>
    <t>4</t>
  </si>
  <si>
    <t>уч. самопознания</t>
  </si>
  <si>
    <t>Попова М.А.</t>
  </si>
  <si>
    <t>зам.дир.по УР</t>
  </si>
  <si>
    <t>уч. математики</t>
  </si>
  <si>
    <t>Ишмагамбетова К.О.</t>
  </si>
  <si>
    <t>зам. дир. по УР</t>
  </si>
  <si>
    <t>19л9м</t>
  </si>
  <si>
    <t>уч. каз. яз. и лит.</t>
  </si>
  <si>
    <t>Ильина Е.А.</t>
  </si>
  <si>
    <t>29л11м</t>
  </si>
  <si>
    <t>уч. информатики</t>
  </si>
  <si>
    <t>Хван Н.</t>
  </si>
  <si>
    <t>методист</t>
  </si>
  <si>
    <t>51л10м</t>
  </si>
  <si>
    <t>B3</t>
  </si>
  <si>
    <t>Волынская О.С.</t>
  </si>
  <si>
    <t>32л</t>
  </si>
  <si>
    <t>Ан С.Ю.</t>
  </si>
  <si>
    <t>Винокурова Н.Н.</t>
  </si>
  <si>
    <t>16л1м</t>
  </si>
  <si>
    <t>Ключникова Л.Н.</t>
  </si>
  <si>
    <t>24л3м</t>
  </si>
  <si>
    <t>Чен О.Я.</t>
  </si>
  <si>
    <t>21л9м</t>
  </si>
  <si>
    <t>Лоцманова Е.В.</t>
  </si>
  <si>
    <t>30л6м</t>
  </si>
  <si>
    <t>Калиниченко Л.Г.</t>
  </si>
  <si>
    <t>30л9м</t>
  </si>
  <si>
    <t>Семкина О.П.</t>
  </si>
  <si>
    <t>15л9м</t>
  </si>
  <si>
    <t>уч.самопознания</t>
  </si>
  <si>
    <t>Саматова Е.В.</t>
  </si>
  <si>
    <t>26л10м</t>
  </si>
  <si>
    <t>Оспанова Г.К.</t>
  </si>
  <si>
    <t>22л4м</t>
  </si>
  <si>
    <t>Новоточина А.С.</t>
  </si>
  <si>
    <t>3л1м</t>
  </si>
  <si>
    <t>Аншакова А.Н.</t>
  </si>
  <si>
    <t>28л</t>
  </si>
  <si>
    <t>Пенкина К.Ю.</t>
  </si>
  <si>
    <t>ср.сп.</t>
  </si>
  <si>
    <t>2л11м</t>
  </si>
  <si>
    <t>B4</t>
  </si>
  <si>
    <t>Улаева В.А.</t>
  </si>
  <si>
    <t>22л7м</t>
  </si>
  <si>
    <t>Шигабутдинова Л.А.</t>
  </si>
  <si>
    <t>37л11м</t>
  </si>
  <si>
    <t>Штенская Н.Р.</t>
  </si>
  <si>
    <t>31л</t>
  </si>
  <si>
    <t>Кушнирчук Л.Н.</t>
  </si>
  <si>
    <t>Попова М.В.</t>
  </si>
  <si>
    <t>26л11м</t>
  </si>
  <si>
    <t>Чеботарева М.Е.</t>
  </si>
  <si>
    <t>7л</t>
  </si>
  <si>
    <t>Войткевич Д.С.</t>
  </si>
  <si>
    <t>48л</t>
  </si>
  <si>
    <t>Ивашкевич И.А.</t>
  </si>
  <si>
    <t>35л5м</t>
  </si>
  <si>
    <t>Ахроменко Н.М.</t>
  </si>
  <si>
    <t>5л2м</t>
  </si>
  <si>
    <t>уч. нач.кл.</t>
  </si>
  <si>
    <t>Фром Ю.В.</t>
  </si>
  <si>
    <t>уч. химии</t>
  </si>
  <si>
    <t>17л</t>
  </si>
  <si>
    <t>Сайфуллин Х.Х.</t>
  </si>
  <si>
    <t>уч.биологии</t>
  </si>
  <si>
    <t>22л10м</t>
  </si>
  <si>
    <t>уч.экономики</t>
  </si>
  <si>
    <t>Попова Ю.С.</t>
  </si>
  <si>
    <t>уч. биологии</t>
  </si>
  <si>
    <t>15л11м</t>
  </si>
  <si>
    <t>Красникова И.В.</t>
  </si>
  <si>
    <t>уч. географии</t>
  </si>
  <si>
    <t>Стулова Е.В.</t>
  </si>
  <si>
    <t>уч.худ.труда</t>
  </si>
  <si>
    <t>22л2м</t>
  </si>
  <si>
    <t>Кравцов А.А.</t>
  </si>
  <si>
    <t>уч. худ.труда</t>
  </si>
  <si>
    <t>35л11м</t>
  </si>
  <si>
    <t>уч.музыки</t>
  </si>
  <si>
    <t>Диордица Е.В.</t>
  </si>
  <si>
    <t>уч. музыки, вокала</t>
  </si>
  <si>
    <t>35л10м</t>
  </si>
  <si>
    <t>Аксенова И.Р.</t>
  </si>
  <si>
    <t>уч. рус. яз. и лит.</t>
  </si>
  <si>
    <t>22л</t>
  </si>
  <si>
    <t>Геккель С.П.</t>
  </si>
  <si>
    <t>29л</t>
  </si>
  <si>
    <t>Грачева Д.А.</t>
  </si>
  <si>
    <t>34л11м</t>
  </si>
  <si>
    <t>Нурмаганова А.Ш.</t>
  </si>
  <si>
    <t>18л11м</t>
  </si>
  <si>
    <t>Абдирбаева Ш.М.</t>
  </si>
  <si>
    <t>15л2м</t>
  </si>
  <si>
    <t>Омарбаева Н.А.</t>
  </si>
  <si>
    <t>уч.каз.яз.и лит.</t>
  </si>
  <si>
    <t>43л5м</t>
  </si>
  <si>
    <t>Жуманбаева А.О.</t>
  </si>
  <si>
    <t>13л</t>
  </si>
  <si>
    <t>Тукенова А.И.</t>
  </si>
  <si>
    <t>5л11м</t>
  </si>
  <si>
    <t>Сагындыкова Н.Ж.</t>
  </si>
  <si>
    <t>24л</t>
  </si>
  <si>
    <t>Абжанова А.С.</t>
  </si>
  <si>
    <t>16л</t>
  </si>
  <si>
    <t>Аширбекова К.Б.</t>
  </si>
  <si>
    <t>22л11м</t>
  </si>
  <si>
    <t>Утегенова А.Б.</t>
  </si>
  <si>
    <t>8л3м</t>
  </si>
  <si>
    <t>Смагулова Г.Ш.</t>
  </si>
  <si>
    <t>2л7м</t>
  </si>
  <si>
    <t>Голынская И.Р.</t>
  </si>
  <si>
    <t>уч. англ. яз.</t>
  </si>
  <si>
    <t>35л9м</t>
  </si>
  <si>
    <t>Узукбаева Н.А.</t>
  </si>
  <si>
    <t>Ким И.С.</t>
  </si>
  <si>
    <t>10л10м</t>
  </si>
  <si>
    <t>Седіғазы Б.Д.</t>
  </si>
  <si>
    <t>1л</t>
  </si>
  <si>
    <t>Ильченко Е.С.</t>
  </si>
  <si>
    <t>0л11м</t>
  </si>
  <si>
    <t>Серба Л.А.</t>
  </si>
  <si>
    <t>0л</t>
  </si>
  <si>
    <t>Ратникова Т.А.</t>
  </si>
  <si>
    <t>уч. истории</t>
  </si>
  <si>
    <t>Кошкарева В.В.</t>
  </si>
  <si>
    <t>7л4м</t>
  </si>
  <si>
    <t>Гурина Л.Е.</t>
  </si>
  <si>
    <t>уч.истории</t>
  </si>
  <si>
    <t>36л4м</t>
  </si>
  <si>
    <t>Эрзямкина И.В.</t>
  </si>
  <si>
    <t>уч. физкультуры</t>
  </si>
  <si>
    <t>28л5м</t>
  </si>
  <si>
    <t>Снегирева А.В.</t>
  </si>
  <si>
    <t>20л2м</t>
  </si>
  <si>
    <t>Сулейменов З.К.</t>
  </si>
  <si>
    <t>Хафткаш А.В.</t>
  </si>
  <si>
    <t>Кожамкулов Е.У.</t>
  </si>
  <si>
    <t>20л11м</t>
  </si>
  <si>
    <t>Толаметов Ф.А.</t>
  </si>
  <si>
    <t>орг. НВП</t>
  </si>
  <si>
    <t>орг.НВП</t>
  </si>
  <si>
    <t>Дубейко О.А.</t>
  </si>
  <si>
    <t>33л1м</t>
  </si>
  <si>
    <t>Ляшок Т.П.</t>
  </si>
  <si>
    <t>кружок</t>
  </si>
  <si>
    <t>40л10м</t>
  </si>
  <si>
    <t>Уразбаева Н.В.</t>
  </si>
  <si>
    <t>уч.курсов вариатив.части</t>
  </si>
  <si>
    <t>2л</t>
  </si>
  <si>
    <t>Акинина В.В.</t>
  </si>
  <si>
    <t>старший вожатый</t>
  </si>
  <si>
    <t>Киндякова А.К.</t>
  </si>
  <si>
    <t>17л6м</t>
  </si>
  <si>
    <t>соц. пед</t>
  </si>
  <si>
    <t>Абель Н.В.</t>
  </si>
  <si>
    <t>худ. рук</t>
  </si>
  <si>
    <t>9л11м</t>
  </si>
  <si>
    <t>C</t>
  </si>
  <si>
    <t>Латипова Р.Р.</t>
  </si>
  <si>
    <t>Пак В.Г.</t>
  </si>
  <si>
    <t>10л</t>
  </si>
  <si>
    <t>лаборант ИВТ</t>
  </si>
  <si>
    <t>Вакансия</t>
  </si>
  <si>
    <t>проф. пред.</t>
  </si>
  <si>
    <t>25л</t>
  </si>
  <si>
    <t>5</t>
  </si>
  <si>
    <t>6</t>
  </si>
  <si>
    <t>7</t>
  </si>
  <si>
    <t>8</t>
  </si>
  <si>
    <t>9</t>
  </si>
  <si>
    <t>10</t>
  </si>
  <si>
    <t>11</t>
  </si>
  <si>
    <t>12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</si>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</sst>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9"/>
      <color theme="1"/>
      <name val="Arial Cyr"/>
      <charset val="204"/>
    </font>
    <font>
      <sz val="9"/>
      <name val="Arial Cyr"/>
      <charset val="204"/>
    </font>
    <font>
      <b/>
      <sz val="16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" fontId="2" fillId="0" borderId="4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5" xfId="0" applyFont="1" applyBorder="1"/>
    <xf numFmtId="0" fontId="5" fillId="0" borderId="0" xfId="0" applyFont="1" applyAlignment="1"/>
    <xf numFmtId="0" fontId="3" fillId="0" borderId="0" xfId="0" applyFont="1" applyAlignment="1"/>
    <xf numFmtId="0" fontId="6" fillId="0" borderId="0" xfId="0" applyFont="1"/>
    <xf numFmtId="0" fontId="0" fillId="0" borderId="0" xfId="0" applyFont="1"/>
    <xf numFmtId="0" fontId="0" fillId="0" borderId="0" xfId="0" applyFont="1" applyBorder="1"/>
    <xf numFmtId="0" fontId="2" fillId="0" borderId="0" xfId="0" applyFont="1" applyFill="1" applyBorder="1" applyAlignment="1">
      <alignment horizontal="left" indent="6"/>
    </xf>
    <xf numFmtId="0" fontId="2" fillId="0" borderId="0" xfId="0" applyFont="1" applyBorder="1"/>
    <xf numFmtId="0" fontId="9" fillId="0" borderId="0" xfId="0" applyFont="1"/>
    <xf numFmtId="0" fontId="8" fillId="0" borderId="8" xfId="0" applyFont="1" applyBorder="1" applyAlignment="1">
      <alignment horizontal="center" vertical="center"/>
    </xf>
    <xf numFmtId="9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/>
    <xf numFmtId="0" fontId="9" fillId="0" borderId="14" xfId="0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right"/>
    </xf>
    <xf numFmtId="1" fontId="9" fillId="0" borderId="14" xfId="0" applyNumberFormat="1" applyFont="1" applyBorder="1" applyAlignment="1">
      <alignment horizontal="right"/>
    </xf>
    <xf numFmtId="0" fontId="9" fillId="0" borderId="14" xfId="0" applyNumberFormat="1" applyFont="1" applyBorder="1" applyAlignment="1">
      <alignment horizontal="right"/>
    </xf>
    <xf numFmtId="0" fontId="9" fillId="0" borderId="14" xfId="0" applyNumberFormat="1" applyFont="1" applyBorder="1" applyAlignment="1">
      <alignment horizontal="center"/>
    </xf>
    <xf numFmtId="1" fontId="10" fillId="0" borderId="14" xfId="0" applyNumberFormat="1" applyFont="1" applyBorder="1" applyAlignment="1">
      <alignment horizontal="right"/>
    </xf>
    <xf numFmtId="1" fontId="9" fillId="0" borderId="15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17" xfId="0" applyFont="1" applyBorder="1"/>
    <xf numFmtId="0" fontId="10" fillId="0" borderId="17" xfId="0" applyFont="1" applyBorder="1"/>
    <xf numFmtId="0" fontId="10" fillId="0" borderId="5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9" fillId="0" borderId="18" xfId="0" applyFont="1" applyBorder="1" applyAlignment="1">
      <alignment horizontal="left"/>
    </xf>
    <xf numFmtId="0" fontId="9" fillId="0" borderId="18" xfId="0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right"/>
    </xf>
    <xf numFmtId="1" fontId="9" fillId="0" borderId="18" xfId="0" applyNumberFormat="1" applyFont="1" applyBorder="1" applyAlignment="1">
      <alignment horizontal="right"/>
    </xf>
    <xf numFmtId="0" fontId="9" fillId="0" borderId="18" xfId="0" applyNumberFormat="1" applyFont="1" applyBorder="1" applyAlignment="1">
      <alignment horizontal="right"/>
    </xf>
    <xf numFmtId="0" fontId="9" fillId="0" borderId="18" xfId="0" applyNumberFormat="1" applyFont="1" applyBorder="1" applyAlignment="1">
      <alignment horizontal="center"/>
    </xf>
    <xf numFmtId="1" fontId="10" fillId="0" borderId="18" xfId="0" applyNumberFormat="1" applyFont="1" applyBorder="1" applyAlignment="1">
      <alignment horizontal="right"/>
    </xf>
    <xf numFmtId="1" fontId="9" fillId="0" borderId="16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left"/>
    </xf>
    <xf numFmtId="0" fontId="9" fillId="0" borderId="21" xfId="0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2" fontId="9" fillId="0" borderId="21" xfId="0" applyNumberFormat="1" applyFont="1" applyBorder="1" applyAlignment="1">
      <alignment horizontal="right"/>
    </xf>
    <xf numFmtId="1" fontId="9" fillId="0" borderId="21" xfId="0" applyNumberFormat="1" applyFont="1" applyBorder="1" applyAlignment="1">
      <alignment horizontal="right"/>
    </xf>
    <xf numFmtId="0" fontId="9" fillId="0" borderId="21" xfId="0" applyNumberFormat="1" applyFont="1" applyBorder="1" applyAlignment="1">
      <alignment horizontal="right"/>
    </xf>
    <xf numFmtId="0" fontId="9" fillId="0" borderId="21" xfId="0" applyNumberFormat="1" applyFont="1" applyBorder="1" applyAlignment="1">
      <alignment horizontal="center"/>
    </xf>
    <xf numFmtId="1" fontId="10" fillId="0" borderId="21" xfId="0" applyNumberFormat="1" applyFont="1" applyBorder="1" applyAlignment="1">
      <alignment horizontal="right"/>
    </xf>
    <xf numFmtId="1" fontId="9" fillId="0" borderId="22" xfId="0" applyNumberFormat="1" applyFont="1" applyBorder="1" applyAlignment="1">
      <alignment horizontal="right"/>
    </xf>
    <xf numFmtId="0" fontId="9" fillId="0" borderId="25" xfId="0" applyFont="1" applyBorder="1" applyAlignment="1">
      <alignment horizontal="left"/>
    </xf>
    <xf numFmtId="0" fontId="9" fillId="0" borderId="25" xfId="0" applyFont="1" applyBorder="1" applyAlignment="1">
      <alignment horizontal="center"/>
    </xf>
    <xf numFmtId="49" fontId="9" fillId="0" borderId="25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right"/>
    </xf>
    <xf numFmtId="1" fontId="9" fillId="0" borderId="25" xfId="0" applyNumberFormat="1" applyFont="1" applyBorder="1" applyAlignment="1">
      <alignment horizontal="right"/>
    </xf>
    <xf numFmtId="0" fontId="9" fillId="0" borderId="25" xfId="0" applyNumberFormat="1" applyFont="1" applyBorder="1" applyAlignment="1">
      <alignment horizontal="right"/>
    </xf>
    <xf numFmtId="0" fontId="9" fillId="0" borderId="25" xfId="0" applyNumberFormat="1" applyFont="1" applyBorder="1" applyAlignment="1">
      <alignment horizontal="center"/>
    </xf>
    <xf numFmtId="1" fontId="10" fillId="0" borderId="25" xfId="0" applyNumberFormat="1" applyFont="1" applyBorder="1" applyAlignment="1">
      <alignment horizontal="right"/>
    </xf>
    <xf numFmtId="1" fontId="9" fillId="0" borderId="26" xfId="0" applyNumberFormat="1" applyFont="1" applyBorder="1" applyAlignment="1">
      <alignment horizontal="right"/>
    </xf>
    <xf numFmtId="1" fontId="10" fillId="0" borderId="27" xfId="0" applyNumberFormat="1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20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49" fontId="9" fillId="0" borderId="20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right"/>
    </xf>
    <xf numFmtId="1" fontId="9" fillId="0" borderId="20" xfId="0" applyNumberFormat="1" applyFont="1" applyBorder="1" applyAlignment="1">
      <alignment horizontal="right"/>
    </xf>
    <xf numFmtId="0" fontId="9" fillId="0" borderId="20" xfId="0" applyNumberFormat="1" applyFont="1" applyBorder="1" applyAlignment="1">
      <alignment horizontal="right"/>
    </xf>
    <xf numFmtId="0" fontId="9" fillId="0" borderId="20" xfId="0" applyNumberFormat="1" applyFont="1" applyBorder="1" applyAlignment="1">
      <alignment horizontal="center"/>
    </xf>
    <xf numFmtId="1" fontId="10" fillId="0" borderId="20" xfId="0" applyNumberFormat="1" applyFont="1" applyBorder="1" applyAlignment="1">
      <alignment horizontal="right"/>
    </xf>
    <xf numFmtId="1" fontId="9" fillId="0" borderId="30" xfId="0" applyNumberFormat="1" applyFont="1" applyBorder="1" applyAlignment="1">
      <alignment horizontal="right"/>
    </xf>
    <xf numFmtId="0" fontId="9" fillId="0" borderId="20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9" fillId="0" borderId="19" xfId="0" applyFont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right"/>
    </xf>
    <xf numFmtId="10" fontId="8" fillId="0" borderId="1" xfId="0" applyNumberFormat="1" applyFont="1" applyBorder="1" applyAlignment="1">
      <alignment horizontal="center" vertical="center" wrapText="1"/>
    </xf>
    <xf numFmtId="10" fontId="8" fillId="0" borderId="12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10" fontId="8" fillId="0" borderId="12" xfId="0" applyNumberFormat="1" applyFont="1" applyBorder="1" applyAlignment="1">
      <alignment horizontal="center" vertical="center"/>
    </xf>
    <xf numFmtId="10" fontId="8" fillId="0" borderId="9" xfId="0" applyNumberFormat="1" applyFont="1" applyBorder="1" applyAlignment="1">
      <alignment horizontal="center" vertical="center" wrapText="1"/>
    </xf>
    <xf numFmtId="10" fontId="8" fillId="0" borderId="10" xfId="0" applyNumberFormat="1" applyFont="1" applyBorder="1" applyAlignment="1">
      <alignment horizontal="center" vertical="center" wrapText="1"/>
    </xf>
    <xf numFmtId="10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16" fontId="8" fillId="0" borderId="8" xfId="0" applyNumberFormat="1" applyFont="1" applyBorder="1" applyAlignment="1">
      <alignment horizontal="center" vertical="center" wrapText="1"/>
    </xf>
    <xf numFmtId="16" fontId="8" fillId="0" borderId="12" xfId="0" applyNumberFormat="1" applyFont="1" applyBorder="1" applyAlignment="1">
      <alignment horizontal="center" vertical="center" wrapText="1"/>
    </xf>
    <xf numFmtId="10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4"/>
  <sheetViews>
    <sheetView tabSelected="1" zoomScale="90" zoomScaleNormal="90" workbookViewId="0">
      <pane xSplit="3" ySplit="11" topLeftCell="AH84" activePane="bottomRight" state="frozen"/>
      <selection pane="topRight" activeCell="D1" sqref="D1"/>
      <selection pane="bottomLeft" activeCell="A25" sqref="A25"/>
      <selection pane="bottomRight" activeCell="AZ58" sqref="AZ58"/>
    </sheetView>
  </sheetViews>
  <sheetFormatPr defaultRowHeight="15" x14ac:dyDescent="0.25"/>
  <cols>
    <col min="1" max="1" width="5.5703125" style="16" customWidth="1"/>
    <col min="2" max="2" width="17.28515625" style="16" bestFit="1" customWidth="1"/>
    <col min="3" max="3" width="21.28515625" style="16" bestFit="1" customWidth="1"/>
    <col min="4" max="8" width="9.140625" style="16"/>
    <col min="9" max="9" width="9.140625" style="16" customWidth="1"/>
    <col min="10" max="12" width="9.140625" style="16"/>
    <col min="13" max="13" width="6.28515625" style="16" customWidth="1"/>
    <col min="14" max="14" width="4" style="16" hidden="1" customWidth="1"/>
    <col min="15" max="46" width="9.140625" style="16"/>
    <col min="47" max="48" width="9.7109375" style="16" customWidth="1"/>
    <col min="49" max="186" width="9.140625" style="16"/>
    <col min="187" max="187" width="5.5703125" style="16" customWidth="1"/>
    <col min="188" max="194" width="9.140625" style="16"/>
    <col min="195" max="195" width="9.140625" style="16" customWidth="1"/>
    <col min="196" max="198" width="9.140625" style="16"/>
    <col min="199" max="199" width="6.28515625" style="16" customWidth="1"/>
    <col min="200" max="200" width="0" style="16" hidden="1" customWidth="1"/>
    <col min="201" max="216" width="9.140625" style="16"/>
    <col min="217" max="217" width="9" style="16" customWidth="1"/>
    <col min="218" max="252" width="9.140625" style="16"/>
    <col min="253" max="253" width="9.7109375" style="16" customWidth="1"/>
    <col min="254" max="268" width="9.140625" style="16"/>
    <col min="269" max="270" width="9.7109375" style="16" customWidth="1"/>
    <col min="271" max="442" width="9.140625" style="16"/>
    <col min="443" max="443" width="5.5703125" style="16" customWidth="1"/>
    <col min="444" max="450" width="9.140625" style="16"/>
    <col min="451" max="451" width="9.140625" style="16" customWidth="1"/>
    <col min="452" max="454" width="9.140625" style="16"/>
    <col min="455" max="455" width="6.28515625" style="16" customWidth="1"/>
    <col min="456" max="456" width="0" style="16" hidden="1" customWidth="1"/>
    <col min="457" max="472" width="9.140625" style="16"/>
    <col min="473" max="473" width="9" style="16" customWidth="1"/>
    <col min="474" max="508" width="9.140625" style="16"/>
    <col min="509" max="509" width="9.7109375" style="16" customWidth="1"/>
    <col min="510" max="524" width="9.140625" style="16"/>
    <col min="525" max="526" width="9.7109375" style="16" customWidth="1"/>
    <col min="527" max="698" width="9.140625" style="16"/>
    <col min="699" max="699" width="5.5703125" style="16" customWidth="1"/>
    <col min="700" max="706" width="9.140625" style="16"/>
    <col min="707" max="707" width="9.140625" style="16" customWidth="1"/>
    <col min="708" max="710" width="9.140625" style="16"/>
    <col min="711" max="711" width="6.28515625" style="16" customWidth="1"/>
    <col min="712" max="712" width="0" style="16" hidden="1" customWidth="1"/>
    <col min="713" max="728" width="9.140625" style="16"/>
    <col min="729" max="729" width="9" style="16" customWidth="1"/>
    <col min="730" max="764" width="9.140625" style="16"/>
    <col min="765" max="765" width="9.7109375" style="16" customWidth="1"/>
    <col min="766" max="780" width="9.140625" style="16"/>
    <col min="781" max="782" width="9.7109375" style="16" customWidth="1"/>
    <col min="783" max="954" width="9.140625" style="16"/>
    <col min="955" max="955" width="5.5703125" style="16" customWidth="1"/>
    <col min="956" max="962" width="9.140625" style="16"/>
    <col min="963" max="963" width="9.140625" style="16" customWidth="1"/>
    <col min="964" max="966" width="9.140625" style="16"/>
    <col min="967" max="967" width="6.28515625" style="16" customWidth="1"/>
    <col min="968" max="968" width="0" style="16" hidden="1" customWidth="1"/>
    <col min="969" max="984" width="9.140625" style="16"/>
    <col min="985" max="985" width="9" style="16" customWidth="1"/>
    <col min="986" max="1020" width="9.140625" style="16"/>
    <col min="1021" max="1021" width="9.7109375" style="16" customWidth="1"/>
    <col min="1022" max="1036" width="9.140625" style="16"/>
    <col min="1037" max="1038" width="9.7109375" style="16" customWidth="1"/>
    <col min="1039" max="1210" width="9.140625" style="16"/>
    <col min="1211" max="1211" width="5.5703125" style="16" customWidth="1"/>
    <col min="1212" max="1218" width="9.140625" style="16"/>
    <col min="1219" max="1219" width="9.140625" style="16" customWidth="1"/>
    <col min="1220" max="1222" width="9.140625" style="16"/>
    <col min="1223" max="1223" width="6.28515625" style="16" customWidth="1"/>
    <col min="1224" max="1224" width="0" style="16" hidden="1" customWidth="1"/>
    <col min="1225" max="1240" width="9.140625" style="16"/>
    <col min="1241" max="1241" width="9" style="16" customWidth="1"/>
    <col min="1242" max="1276" width="9.140625" style="16"/>
    <col min="1277" max="1277" width="9.7109375" style="16" customWidth="1"/>
    <col min="1278" max="1292" width="9.140625" style="16"/>
    <col min="1293" max="1294" width="9.7109375" style="16" customWidth="1"/>
    <col min="1295" max="1466" width="9.140625" style="16"/>
    <col min="1467" max="1467" width="5.5703125" style="16" customWidth="1"/>
    <col min="1468" max="1474" width="9.140625" style="16"/>
    <col min="1475" max="1475" width="9.140625" style="16" customWidth="1"/>
    <col min="1476" max="1478" width="9.140625" style="16"/>
    <col min="1479" max="1479" width="6.28515625" style="16" customWidth="1"/>
    <col min="1480" max="1480" width="0" style="16" hidden="1" customWidth="1"/>
    <col min="1481" max="1496" width="9.140625" style="16"/>
    <col min="1497" max="1497" width="9" style="16" customWidth="1"/>
    <col min="1498" max="1532" width="9.140625" style="16"/>
    <col min="1533" max="1533" width="9.7109375" style="16" customWidth="1"/>
    <col min="1534" max="1548" width="9.140625" style="16"/>
    <col min="1549" max="1550" width="9.7109375" style="16" customWidth="1"/>
    <col min="1551" max="1722" width="9.140625" style="16"/>
    <col min="1723" max="1723" width="5.5703125" style="16" customWidth="1"/>
    <col min="1724" max="1730" width="9.140625" style="16"/>
    <col min="1731" max="1731" width="9.140625" style="16" customWidth="1"/>
    <col min="1732" max="1734" width="9.140625" style="16"/>
    <col min="1735" max="1735" width="6.28515625" style="16" customWidth="1"/>
    <col min="1736" max="1736" width="0" style="16" hidden="1" customWidth="1"/>
    <col min="1737" max="1752" width="9.140625" style="16"/>
    <col min="1753" max="1753" width="9" style="16" customWidth="1"/>
    <col min="1754" max="1788" width="9.140625" style="16"/>
    <col min="1789" max="1789" width="9.7109375" style="16" customWidth="1"/>
    <col min="1790" max="1804" width="9.140625" style="16"/>
    <col min="1805" max="1806" width="9.7109375" style="16" customWidth="1"/>
    <col min="1807" max="1978" width="9.140625" style="16"/>
    <col min="1979" max="1979" width="5.5703125" style="16" customWidth="1"/>
    <col min="1980" max="1986" width="9.140625" style="16"/>
    <col min="1987" max="1987" width="9.140625" style="16" customWidth="1"/>
    <col min="1988" max="1990" width="9.140625" style="16"/>
    <col min="1991" max="1991" width="6.28515625" style="16" customWidth="1"/>
    <col min="1992" max="1992" width="0" style="16" hidden="1" customWidth="1"/>
    <col min="1993" max="2008" width="9.140625" style="16"/>
    <col min="2009" max="2009" width="9" style="16" customWidth="1"/>
    <col min="2010" max="2044" width="9.140625" style="16"/>
    <col min="2045" max="2045" width="9.7109375" style="16" customWidth="1"/>
    <col min="2046" max="2060" width="9.140625" style="16"/>
    <col min="2061" max="2062" width="9.7109375" style="16" customWidth="1"/>
    <col min="2063" max="2234" width="9.140625" style="16"/>
    <col min="2235" max="2235" width="5.5703125" style="16" customWidth="1"/>
    <col min="2236" max="2242" width="9.140625" style="16"/>
    <col min="2243" max="2243" width="9.140625" style="16" customWidth="1"/>
    <col min="2244" max="2246" width="9.140625" style="16"/>
    <col min="2247" max="2247" width="6.28515625" style="16" customWidth="1"/>
    <col min="2248" max="2248" width="0" style="16" hidden="1" customWidth="1"/>
    <col min="2249" max="2264" width="9.140625" style="16"/>
    <col min="2265" max="2265" width="9" style="16" customWidth="1"/>
    <col min="2266" max="2300" width="9.140625" style="16"/>
    <col min="2301" max="2301" width="9.7109375" style="16" customWidth="1"/>
    <col min="2302" max="2316" width="9.140625" style="16"/>
    <col min="2317" max="2318" width="9.7109375" style="16" customWidth="1"/>
    <col min="2319" max="2490" width="9.140625" style="16"/>
    <col min="2491" max="2491" width="5.5703125" style="16" customWidth="1"/>
    <col min="2492" max="2498" width="9.140625" style="16"/>
    <col min="2499" max="2499" width="9.140625" style="16" customWidth="1"/>
    <col min="2500" max="2502" width="9.140625" style="16"/>
    <col min="2503" max="2503" width="6.28515625" style="16" customWidth="1"/>
    <col min="2504" max="2504" width="0" style="16" hidden="1" customWidth="1"/>
    <col min="2505" max="2520" width="9.140625" style="16"/>
    <col min="2521" max="2521" width="9" style="16" customWidth="1"/>
    <col min="2522" max="2556" width="9.140625" style="16"/>
    <col min="2557" max="2557" width="9.7109375" style="16" customWidth="1"/>
    <col min="2558" max="2572" width="9.140625" style="16"/>
    <col min="2573" max="2574" width="9.7109375" style="16" customWidth="1"/>
    <col min="2575" max="2746" width="9.140625" style="16"/>
    <col min="2747" max="2747" width="5.5703125" style="16" customWidth="1"/>
    <col min="2748" max="2754" width="9.140625" style="16"/>
    <col min="2755" max="2755" width="9.140625" style="16" customWidth="1"/>
    <col min="2756" max="2758" width="9.140625" style="16"/>
    <col min="2759" max="2759" width="6.28515625" style="16" customWidth="1"/>
    <col min="2760" max="2760" width="0" style="16" hidden="1" customWidth="1"/>
    <col min="2761" max="2776" width="9.140625" style="16"/>
    <col min="2777" max="2777" width="9" style="16" customWidth="1"/>
    <col min="2778" max="2812" width="9.140625" style="16"/>
    <col min="2813" max="2813" width="9.7109375" style="16" customWidth="1"/>
    <col min="2814" max="2828" width="9.140625" style="16"/>
    <col min="2829" max="2830" width="9.7109375" style="16" customWidth="1"/>
    <col min="2831" max="3002" width="9.140625" style="16"/>
    <col min="3003" max="3003" width="5.5703125" style="16" customWidth="1"/>
    <col min="3004" max="3010" width="9.140625" style="16"/>
    <col min="3011" max="3011" width="9.140625" style="16" customWidth="1"/>
    <col min="3012" max="3014" width="9.140625" style="16"/>
    <col min="3015" max="3015" width="6.28515625" style="16" customWidth="1"/>
    <col min="3016" max="3016" width="0" style="16" hidden="1" customWidth="1"/>
    <col min="3017" max="3032" width="9.140625" style="16"/>
    <col min="3033" max="3033" width="9" style="16" customWidth="1"/>
    <col min="3034" max="3068" width="9.140625" style="16"/>
    <col min="3069" max="3069" width="9.7109375" style="16" customWidth="1"/>
    <col min="3070" max="3084" width="9.140625" style="16"/>
    <col min="3085" max="3086" width="9.7109375" style="16" customWidth="1"/>
    <col min="3087" max="3258" width="9.140625" style="16"/>
    <col min="3259" max="3259" width="5.5703125" style="16" customWidth="1"/>
    <col min="3260" max="3266" width="9.140625" style="16"/>
    <col min="3267" max="3267" width="9.140625" style="16" customWidth="1"/>
    <col min="3268" max="3270" width="9.140625" style="16"/>
    <col min="3271" max="3271" width="6.28515625" style="16" customWidth="1"/>
    <col min="3272" max="3272" width="0" style="16" hidden="1" customWidth="1"/>
    <col min="3273" max="3288" width="9.140625" style="16"/>
    <col min="3289" max="3289" width="9" style="16" customWidth="1"/>
    <col min="3290" max="3324" width="9.140625" style="16"/>
    <col min="3325" max="3325" width="9.7109375" style="16" customWidth="1"/>
    <col min="3326" max="3340" width="9.140625" style="16"/>
    <col min="3341" max="3342" width="9.7109375" style="16" customWidth="1"/>
    <col min="3343" max="3514" width="9.140625" style="16"/>
    <col min="3515" max="3515" width="5.5703125" style="16" customWidth="1"/>
    <col min="3516" max="3522" width="9.140625" style="16"/>
    <col min="3523" max="3523" width="9.140625" style="16" customWidth="1"/>
    <col min="3524" max="3526" width="9.140625" style="16"/>
    <col min="3527" max="3527" width="6.28515625" style="16" customWidth="1"/>
    <col min="3528" max="3528" width="0" style="16" hidden="1" customWidth="1"/>
    <col min="3529" max="3544" width="9.140625" style="16"/>
    <col min="3545" max="3545" width="9" style="16" customWidth="1"/>
    <col min="3546" max="3580" width="9.140625" style="16"/>
    <col min="3581" max="3581" width="9.7109375" style="16" customWidth="1"/>
    <col min="3582" max="3596" width="9.140625" style="16"/>
    <col min="3597" max="3598" width="9.7109375" style="16" customWidth="1"/>
    <col min="3599" max="3770" width="9.140625" style="16"/>
    <col min="3771" max="3771" width="5.5703125" style="16" customWidth="1"/>
    <col min="3772" max="3778" width="9.140625" style="16"/>
    <col min="3779" max="3779" width="9.140625" style="16" customWidth="1"/>
    <col min="3780" max="3782" width="9.140625" style="16"/>
    <col min="3783" max="3783" width="6.28515625" style="16" customWidth="1"/>
    <col min="3784" max="3784" width="0" style="16" hidden="1" customWidth="1"/>
    <col min="3785" max="3800" width="9.140625" style="16"/>
    <col min="3801" max="3801" width="9" style="16" customWidth="1"/>
    <col min="3802" max="3836" width="9.140625" style="16"/>
    <col min="3837" max="3837" width="9.7109375" style="16" customWidth="1"/>
    <col min="3838" max="3852" width="9.140625" style="16"/>
    <col min="3853" max="3854" width="9.7109375" style="16" customWidth="1"/>
    <col min="3855" max="4026" width="9.140625" style="16"/>
    <col min="4027" max="4027" width="5.5703125" style="16" customWidth="1"/>
    <col min="4028" max="4034" width="9.140625" style="16"/>
    <col min="4035" max="4035" width="9.140625" style="16" customWidth="1"/>
    <col min="4036" max="4038" width="9.140625" style="16"/>
    <col min="4039" max="4039" width="6.28515625" style="16" customWidth="1"/>
    <col min="4040" max="4040" width="0" style="16" hidden="1" customWidth="1"/>
    <col min="4041" max="4056" width="9.140625" style="16"/>
    <col min="4057" max="4057" width="9" style="16" customWidth="1"/>
    <col min="4058" max="4092" width="9.140625" style="16"/>
    <col min="4093" max="4093" width="9.7109375" style="16" customWidth="1"/>
    <col min="4094" max="4108" width="9.140625" style="16"/>
    <col min="4109" max="4110" width="9.7109375" style="16" customWidth="1"/>
    <col min="4111" max="4282" width="9.140625" style="16"/>
    <col min="4283" max="4283" width="5.5703125" style="16" customWidth="1"/>
    <col min="4284" max="4290" width="9.140625" style="16"/>
    <col min="4291" max="4291" width="9.140625" style="16" customWidth="1"/>
    <col min="4292" max="4294" width="9.140625" style="16"/>
    <col min="4295" max="4295" width="6.28515625" style="16" customWidth="1"/>
    <col min="4296" max="4296" width="0" style="16" hidden="1" customWidth="1"/>
    <col min="4297" max="4312" width="9.140625" style="16"/>
    <col min="4313" max="4313" width="9" style="16" customWidth="1"/>
    <col min="4314" max="4348" width="9.140625" style="16"/>
    <col min="4349" max="4349" width="9.7109375" style="16" customWidth="1"/>
    <col min="4350" max="4364" width="9.140625" style="16"/>
    <col min="4365" max="4366" width="9.7109375" style="16" customWidth="1"/>
    <col min="4367" max="4538" width="9.140625" style="16"/>
    <col min="4539" max="4539" width="5.5703125" style="16" customWidth="1"/>
    <col min="4540" max="4546" width="9.140625" style="16"/>
    <col min="4547" max="4547" width="9.140625" style="16" customWidth="1"/>
    <col min="4548" max="4550" width="9.140625" style="16"/>
    <col min="4551" max="4551" width="6.28515625" style="16" customWidth="1"/>
    <col min="4552" max="4552" width="0" style="16" hidden="1" customWidth="1"/>
    <col min="4553" max="4568" width="9.140625" style="16"/>
    <col min="4569" max="4569" width="9" style="16" customWidth="1"/>
    <col min="4570" max="4604" width="9.140625" style="16"/>
    <col min="4605" max="4605" width="9.7109375" style="16" customWidth="1"/>
    <col min="4606" max="4620" width="9.140625" style="16"/>
    <col min="4621" max="4622" width="9.7109375" style="16" customWidth="1"/>
    <col min="4623" max="4794" width="9.140625" style="16"/>
    <col min="4795" max="4795" width="5.5703125" style="16" customWidth="1"/>
    <col min="4796" max="4802" width="9.140625" style="16"/>
    <col min="4803" max="4803" width="9.140625" style="16" customWidth="1"/>
    <col min="4804" max="4806" width="9.140625" style="16"/>
    <col min="4807" max="4807" width="6.28515625" style="16" customWidth="1"/>
    <col min="4808" max="4808" width="0" style="16" hidden="1" customWidth="1"/>
    <col min="4809" max="4824" width="9.140625" style="16"/>
    <col min="4825" max="4825" width="9" style="16" customWidth="1"/>
    <col min="4826" max="4860" width="9.140625" style="16"/>
    <col min="4861" max="4861" width="9.7109375" style="16" customWidth="1"/>
    <col min="4862" max="4876" width="9.140625" style="16"/>
    <col min="4877" max="4878" width="9.7109375" style="16" customWidth="1"/>
    <col min="4879" max="5050" width="9.140625" style="16"/>
    <col min="5051" max="5051" width="5.5703125" style="16" customWidth="1"/>
    <col min="5052" max="5058" width="9.140625" style="16"/>
    <col min="5059" max="5059" width="9.140625" style="16" customWidth="1"/>
    <col min="5060" max="5062" width="9.140625" style="16"/>
    <col min="5063" max="5063" width="6.28515625" style="16" customWidth="1"/>
    <col min="5064" max="5064" width="0" style="16" hidden="1" customWidth="1"/>
    <col min="5065" max="5080" width="9.140625" style="16"/>
    <col min="5081" max="5081" width="9" style="16" customWidth="1"/>
    <col min="5082" max="5116" width="9.140625" style="16"/>
    <col min="5117" max="5117" width="9.7109375" style="16" customWidth="1"/>
    <col min="5118" max="5132" width="9.140625" style="16"/>
    <col min="5133" max="5134" width="9.7109375" style="16" customWidth="1"/>
    <col min="5135" max="5306" width="9.140625" style="16"/>
    <col min="5307" max="5307" width="5.5703125" style="16" customWidth="1"/>
    <col min="5308" max="5314" width="9.140625" style="16"/>
    <col min="5315" max="5315" width="9.140625" style="16" customWidth="1"/>
    <col min="5316" max="5318" width="9.140625" style="16"/>
    <col min="5319" max="5319" width="6.28515625" style="16" customWidth="1"/>
    <col min="5320" max="5320" width="0" style="16" hidden="1" customWidth="1"/>
    <col min="5321" max="5336" width="9.140625" style="16"/>
    <col min="5337" max="5337" width="9" style="16" customWidth="1"/>
    <col min="5338" max="5372" width="9.140625" style="16"/>
    <col min="5373" max="5373" width="9.7109375" style="16" customWidth="1"/>
    <col min="5374" max="5388" width="9.140625" style="16"/>
    <col min="5389" max="5390" width="9.7109375" style="16" customWidth="1"/>
    <col min="5391" max="5562" width="9.140625" style="16"/>
    <col min="5563" max="5563" width="5.5703125" style="16" customWidth="1"/>
    <col min="5564" max="5570" width="9.140625" style="16"/>
    <col min="5571" max="5571" width="9.140625" style="16" customWidth="1"/>
    <col min="5572" max="5574" width="9.140625" style="16"/>
    <col min="5575" max="5575" width="6.28515625" style="16" customWidth="1"/>
    <col min="5576" max="5576" width="0" style="16" hidden="1" customWidth="1"/>
    <col min="5577" max="5592" width="9.140625" style="16"/>
    <col min="5593" max="5593" width="9" style="16" customWidth="1"/>
    <col min="5594" max="5628" width="9.140625" style="16"/>
    <col min="5629" max="5629" width="9.7109375" style="16" customWidth="1"/>
    <col min="5630" max="5644" width="9.140625" style="16"/>
    <col min="5645" max="5646" width="9.7109375" style="16" customWidth="1"/>
    <col min="5647" max="5818" width="9.140625" style="16"/>
    <col min="5819" max="5819" width="5.5703125" style="16" customWidth="1"/>
    <col min="5820" max="5826" width="9.140625" style="16"/>
    <col min="5827" max="5827" width="9.140625" style="16" customWidth="1"/>
    <col min="5828" max="5830" width="9.140625" style="16"/>
    <col min="5831" max="5831" width="6.28515625" style="16" customWidth="1"/>
    <col min="5832" max="5832" width="0" style="16" hidden="1" customWidth="1"/>
    <col min="5833" max="5848" width="9.140625" style="16"/>
    <col min="5849" max="5849" width="9" style="16" customWidth="1"/>
    <col min="5850" max="5884" width="9.140625" style="16"/>
    <col min="5885" max="5885" width="9.7109375" style="16" customWidth="1"/>
    <col min="5886" max="5900" width="9.140625" style="16"/>
    <col min="5901" max="5902" width="9.7109375" style="16" customWidth="1"/>
    <col min="5903" max="6074" width="9.140625" style="16"/>
    <col min="6075" max="6075" width="5.5703125" style="16" customWidth="1"/>
    <col min="6076" max="6082" width="9.140625" style="16"/>
    <col min="6083" max="6083" width="9.140625" style="16" customWidth="1"/>
    <col min="6084" max="6086" width="9.140625" style="16"/>
    <col min="6087" max="6087" width="6.28515625" style="16" customWidth="1"/>
    <col min="6088" max="6088" width="0" style="16" hidden="1" customWidth="1"/>
    <col min="6089" max="6104" width="9.140625" style="16"/>
    <col min="6105" max="6105" width="9" style="16" customWidth="1"/>
    <col min="6106" max="6140" width="9.140625" style="16"/>
    <col min="6141" max="6141" width="9.7109375" style="16" customWidth="1"/>
    <col min="6142" max="6156" width="9.140625" style="16"/>
    <col min="6157" max="6158" width="9.7109375" style="16" customWidth="1"/>
    <col min="6159" max="6330" width="9.140625" style="16"/>
    <col min="6331" max="6331" width="5.5703125" style="16" customWidth="1"/>
    <col min="6332" max="6338" width="9.140625" style="16"/>
    <col min="6339" max="6339" width="9.140625" style="16" customWidth="1"/>
    <col min="6340" max="6342" width="9.140625" style="16"/>
    <col min="6343" max="6343" width="6.28515625" style="16" customWidth="1"/>
    <col min="6344" max="6344" width="0" style="16" hidden="1" customWidth="1"/>
    <col min="6345" max="6360" width="9.140625" style="16"/>
    <col min="6361" max="6361" width="9" style="16" customWidth="1"/>
    <col min="6362" max="6396" width="9.140625" style="16"/>
    <col min="6397" max="6397" width="9.7109375" style="16" customWidth="1"/>
    <col min="6398" max="6412" width="9.140625" style="16"/>
    <col min="6413" max="6414" width="9.7109375" style="16" customWidth="1"/>
    <col min="6415" max="6586" width="9.140625" style="16"/>
    <col min="6587" max="6587" width="5.5703125" style="16" customWidth="1"/>
    <col min="6588" max="6594" width="9.140625" style="16"/>
    <col min="6595" max="6595" width="9.140625" style="16" customWidth="1"/>
    <col min="6596" max="6598" width="9.140625" style="16"/>
    <col min="6599" max="6599" width="6.28515625" style="16" customWidth="1"/>
    <col min="6600" max="6600" width="0" style="16" hidden="1" customWidth="1"/>
    <col min="6601" max="6616" width="9.140625" style="16"/>
    <col min="6617" max="6617" width="9" style="16" customWidth="1"/>
    <col min="6618" max="6652" width="9.140625" style="16"/>
    <col min="6653" max="6653" width="9.7109375" style="16" customWidth="1"/>
    <col min="6654" max="6668" width="9.140625" style="16"/>
    <col min="6669" max="6670" width="9.7109375" style="16" customWidth="1"/>
    <col min="6671" max="6842" width="9.140625" style="16"/>
    <col min="6843" max="6843" width="5.5703125" style="16" customWidth="1"/>
    <col min="6844" max="6850" width="9.140625" style="16"/>
    <col min="6851" max="6851" width="9.140625" style="16" customWidth="1"/>
    <col min="6852" max="6854" width="9.140625" style="16"/>
    <col min="6855" max="6855" width="6.28515625" style="16" customWidth="1"/>
    <col min="6856" max="6856" width="0" style="16" hidden="1" customWidth="1"/>
    <col min="6857" max="6872" width="9.140625" style="16"/>
    <col min="6873" max="6873" width="9" style="16" customWidth="1"/>
    <col min="6874" max="6908" width="9.140625" style="16"/>
    <col min="6909" max="6909" width="9.7109375" style="16" customWidth="1"/>
    <col min="6910" max="6924" width="9.140625" style="16"/>
    <col min="6925" max="6926" width="9.7109375" style="16" customWidth="1"/>
    <col min="6927" max="7098" width="9.140625" style="16"/>
    <col min="7099" max="7099" width="5.5703125" style="16" customWidth="1"/>
    <col min="7100" max="7106" width="9.140625" style="16"/>
    <col min="7107" max="7107" width="9.140625" style="16" customWidth="1"/>
    <col min="7108" max="7110" width="9.140625" style="16"/>
    <col min="7111" max="7111" width="6.28515625" style="16" customWidth="1"/>
    <col min="7112" max="7112" width="0" style="16" hidden="1" customWidth="1"/>
    <col min="7113" max="7128" width="9.140625" style="16"/>
    <col min="7129" max="7129" width="9" style="16" customWidth="1"/>
    <col min="7130" max="7164" width="9.140625" style="16"/>
    <col min="7165" max="7165" width="9.7109375" style="16" customWidth="1"/>
    <col min="7166" max="7180" width="9.140625" style="16"/>
    <col min="7181" max="7182" width="9.7109375" style="16" customWidth="1"/>
    <col min="7183" max="7354" width="9.140625" style="16"/>
    <col min="7355" max="7355" width="5.5703125" style="16" customWidth="1"/>
    <col min="7356" max="7362" width="9.140625" style="16"/>
    <col min="7363" max="7363" width="9.140625" style="16" customWidth="1"/>
    <col min="7364" max="7366" width="9.140625" style="16"/>
    <col min="7367" max="7367" width="6.28515625" style="16" customWidth="1"/>
    <col min="7368" max="7368" width="0" style="16" hidden="1" customWidth="1"/>
    <col min="7369" max="7384" width="9.140625" style="16"/>
    <col min="7385" max="7385" width="9" style="16" customWidth="1"/>
    <col min="7386" max="7420" width="9.140625" style="16"/>
    <col min="7421" max="7421" width="9.7109375" style="16" customWidth="1"/>
    <col min="7422" max="7436" width="9.140625" style="16"/>
    <col min="7437" max="7438" width="9.7109375" style="16" customWidth="1"/>
    <col min="7439" max="7610" width="9.140625" style="16"/>
    <col min="7611" max="7611" width="5.5703125" style="16" customWidth="1"/>
    <col min="7612" max="7618" width="9.140625" style="16"/>
    <col min="7619" max="7619" width="9.140625" style="16" customWidth="1"/>
    <col min="7620" max="7622" width="9.140625" style="16"/>
    <col min="7623" max="7623" width="6.28515625" style="16" customWidth="1"/>
    <col min="7624" max="7624" width="0" style="16" hidden="1" customWidth="1"/>
    <col min="7625" max="7640" width="9.140625" style="16"/>
    <col min="7641" max="7641" width="9" style="16" customWidth="1"/>
    <col min="7642" max="7676" width="9.140625" style="16"/>
    <col min="7677" max="7677" width="9.7109375" style="16" customWidth="1"/>
    <col min="7678" max="7692" width="9.140625" style="16"/>
    <col min="7693" max="7694" width="9.7109375" style="16" customWidth="1"/>
    <col min="7695" max="7866" width="9.140625" style="16"/>
    <col min="7867" max="7867" width="5.5703125" style="16" customWidth="1"/>
    <col min="7868" max="7874" width="9.140625" style="16"/>
    <col min="7875" max="7875" width="9.140625" style="16" customWidth="1"/>
    <col min="7876" max="7878" width="9.140625" style="16"/>
    <col min="7879" max="7879" width="6.28515625" style="16" customWidth="1"/>
    <col min="7880" max="7880" width="0" style="16" hidden="1" customWidth="1"/>
    <col min="7881" max="7896" width="9.140625" style="16"/>
    <col min="7897" max="7897" width="9" style="16" customWidth="1"/>
    <col min="7898" max="7932" width="9.140625" style="16"/>
    <col min="7933" max="7933" width="9.7109375" style="16" customWidth="1"/>
    <col min="7934" max="7948" width="9.140625" style="16"/>
    <col min="7949" max="7950" width="9.7109375" style="16" customWidth="1"/>
    <col min="7951" max="8122" width="9.140625" style="16"/>
    <col min="8123" max="8123" width="5.5703125" style="16" customWidth="1"/>
    <col min="8124" max="8130" width="9.140625" style="16"/>
    <col min="8131" max="8131" width="9.140625" style="16" customWidth="1"/>
    <col min="8132" max="8134" width="9.140625" style="16"/>
    <col min="8135" max="8135" width="6.28515625" style="16" customWidth="1"/>
    <col min="8136" max="8136" width="0" style="16" hidden="1" customWidth="1"/>
    <col min="8137" max="8152" width="9.140625" style="16"/>
    <col min="8153" max="8153" width="9" style="16" customWidth="1"/>
    <col min="8154" max="8188" width="9.140625" style="16"/>
    <col min="8189" max="8189" width="9.7109375" style="16" customWidth="1"/>
    <col min="8190" max="8204" width="9.140625" style="16"/>
    <col min="8205" max="8206" width="9.7109375" style="16" customWidth="1"/>
    <col min="8207" max="8378" width="9.140625" style="16"/>
    <col min="8379" max="8379" width="5.5703125" style="16" customWidth="1"/>
    <col min="8380" max="8386" width="9.140625" style="16"/>
    <col min="8387" max="8387" width="9.140625" style="16" customWidth="1"/>
    <col min="8388" max="8390" width="9.140625" style="16"/>
    <col min="8391" max="8391" width="6.28515625" style="16" customWidth="1"/>
    <col min="8392" max="8392" width="0" style="16" hidden="1" customWidth="1"/>
    <col min="8393" max="8408" width="9.140625" style="16"/>
    <col min="8409" max="8409" width="9" style="16" customWidth="1"/>
    <col min="8410" max="8444" width="9.140625" style="16"/>
    <col min="8445" max="8445" width="9.7109375" style="16" customWidth="1"/>
    <col min="8446" max="8460" width="9.140625" style="16"/>
    <col min="8461" max="8462" width="9.7109375" style="16" customWidth="1"/>
    <col min="8463" max="8634" width="9.140625" style="16"/>
    <col min="8635" max="8635" width="5.5703125" style="16" customWidth="1"/>
    <col min="8636" max="8642" width="9.140625" style="16"/>
    <col min="8643" max="8643" width="9.140625" style="16" customWidth="1"/>
    <col min="8644" max="8646" width="9.140625" style="16"/>
    <col min="8647" max="8647" width="6.28515625" style="16" customWidth="1"/>
    <col min="8648" max="8648" width="0" style="16" hidden="1" customWidth="1"/>
    <col min="8649" max="8664" width="9.140625" style="16"/>
    <col min="8665" max="8665" width="9" style="16" customWidth="1"/>
    <col min="8666" max="8700" width="9.140625" style="16"/>
    <col min="8701" max="8701" width="9.7109375" style="16" customWidth="1"/>
    <col min="8702" max="8716" width="9.140625" style="16"/>
    <col min="8717" max="8718" width="9.7109375" style="16" customWidth="1"/>
    <col min="8719" max="8890" width="9.140625" style="16"/>
    <col min="8891" max="8891" width="5.5703125" style="16" customWidth="1"/>
    <col min="8892" max="8898" width="9.140625" style="16"/>
    <col min="8899" max="8899" width="9.140625" style="16" customWidth="1"/>
    <col min="8900" max="8902" width="9.140625" style="16"/>
    <col min="8903" max="8903" width="6.28515625" style="16" customWidth="1"/>
    <col min="8904" max="8904" width="0" style="16" hidden="1" customWidth="1"/>
    <col min="8905" max="8920" width="9.140625" style="16"/>
    <col min="8921" max="8921" width="9" style="16" customWidth="1"/>
    <col min="8922" max="8956" width="9.140625" style="16"/>
    <col min="8957" max="8957" width="9.7109375" style="16" customWidth="1"/>
    <col min="8958" max="8972" width="9.140625" style="16"/>
    <col min="8973" max="8974" width="9.7109375" style="16" customWidth="1"/>
    <col min="8975" max="9146" width="9.140625" style="16"/>
    <col min="9147" max="9147" width="5.5703125" style="16" customWidth="1"/>
    <col min="9148" max="9154" width="9.140625" style="16"/>
    <col min="9155" max="9155" width="9.140625" style="16" customWidth="1"/>
    <col min="9156" max="9158" width="9.140625" style="16"/>
    <col min="9159" max="9159" width="6.28515625" style="16" customWidth="1"/>
    <col min="9160" max="9160" width="0" style="16" hidden="1" customWidth="1"/>
    <col min="9161" max="9176" width="9.140625" style="16"/>
    <col min="9177" max="9177" width="9" style="16" customWidth="1"/>
    <col min="9178" max="9212" width="9.140625" style="16"/>
    <col min="9213" max="9213" width="9.7109375" style="16" customWidth="1"/>
    <col min="9214" max="9228" width="9.140625" style="16"/>
    <col min="9229" max="9230" width="9.7109375" style="16" customWidth="1"/>
    <col min="9231" max="9402" width="9.140625" style="16"/>
    <col min="9403" max="9403" width="5.5703125" style="16" customWidth="1"/>
    <col min="9404" max="9410" width="9.140625" style="16"/>
    <col min="9411" max="9411" width="9.140625" style="16" customWidth="1"/>
    <col min="9412" max="9414" width="9.140625" style="16"/>
    <col min="9415" max="9415" width="6.28515625" style="16" customWidth="1"/>
    <col min="9416" max="9416" width="0" style="16" hidden="1" customWidth="1"/>
    <col min="9417" max="9432" width="9.140625" style="16"/>
    <col min="9433" max="9433" width="9" style="16" customWidth="1"/>
    <col min="9434" max="9468" width="9.140625" style="16"/>
    <col min="9469" max="9469" width="9.7109375" style="16" customWidth="1"/>
    <col min="9470" max="9484" width="9.140625" style="16"/>
    <col min="9485" max="9486" width="9.7109375" style="16" customWidth="1"/>
    <col min="9487" max="9658" width="9.140625" style="16"/>
    <col min="9659" max="9659" width="5.5703125" style="16" customWidth="1"/>
    <col min="9660" max="9666" width="9.140625" style="16"/>
    <col min="9667" max="9667" width="9.140625" style="16" customWidth="1"/>
    <col min="9668" max="9670" width="9.140625" style="16"/>
    <col min="9671" max="9671" width="6.28515625" style="16" customWidth="1"/>
    <col min="9672" max="9672" width="0" style="16" hidden="1" customWidth="1"/>
    <col min="9673" max="9688" width="9.140625" style="16"/>
    <col min="9689" max="9689" width="9" style="16" customWidth="1"/>
    <col min="9690" max="9724" width="9.140625" style="16"/>
    <col min="9725" max="9725" width="9.7109375" style="16" customWidth="1"/>
    <col min="9726" max="9740" width="9.140625" style="16"/>
    <col min="9741" max="9742" width="9.7109375" style="16" customWidth="1"/>
    <col min="9743" max="9914" width="9.140625" style="16"/>
    <col min="9915" max="9915" width="5.5703125" style="16" customWidth="1"/>
    <col min="9916" max="9922" width="9.140625" style="16"/>
    <col min="9923" max="9923" width="9.140625" style="16" customWidth="1"/>
    <col min="9924" max="9926" width="9.140625" style="16"/>
    <col min="9927" max="9927" width="6.28515625" style="16" customWidth="1"/>
    <col min="9928" max="9928" width="0" style="16" hidden="1" customWidth="1"/>
    <col min="9929" max="9944" width="9.140625" style="16"/>
    <col min="9945" max="9945" width="9" style="16" customWidth="1"/>
    <col min="9946" max="9980" width="9.140625" style="16"/>
    <col min="9981" max="9981" width="9.7109375" style="16" customWidth="1"/>
    <col min="9982" max="9996" width="9.140625" style="16"/>
    <col min="9997" max="9998" width="9.7109375" style="16" customWidth="1"/>
    <col min="9999" max="10170" width="9.140625" style="16"/>
    <col min="10171" max="10171" width="5.5703125" style="16" customWidth="1"/>
    <col min="10172" max="10178" width="9.140625" style="16"/>
    <col min="10179" max="10179" width="9.140625" style="16" customWidth="1"/>
    <col min="10180" max="10182" width="9.140625" style="16"/>
    <col min="10183" max="10183" width="6.28515625" style="16" customWidth="1"/>
    <col min="10184" max="10184" width="0" style="16" hidden="1" customWidth="1"/>
    <col min="10185" max="10200" width="9.140625" style="16"/>
    <col min="10201" max="10201" width="9" style="16" customWidth="1"/>
    <col min="10202" max="10236" width="9.140625" style="16"/>
    <col min="10237" max="10237" width="9.7109375" style="16" customWidth="1"/>
    <col min="10238" max="10252" width="9.140625" style="16"/>
    <col min="10253" max="10254" width="9.7109375" style="16" customWidth="1"/>
    <col min="10255" max="10426" width="9.140625" style="16"/>
    <col min="10427" max="10427" width="5.5703125" style="16" customWidth="1"/>
    <col min="10428" max="10434" width="9.140625" style="16"/>
    <col min="10435" max="10435" width="9.140625" style="16" customWidth="1"/>
    <col min="10436" max="10438" width="9.140625" style="16"/>
    <col min="10439" max="10439" width="6.28515625" style="16" customWidth="1"/>
    <col min="10440" max="10440" width="0" style="16" hidden="1" customWidth="1"/>
    <col min="10441" max="10456" width="9.140625" style="16"/>
    <col min="10457" max="10457" width="9" style="16" customWidth="1"/>
    <col min="10458" max="10492" width="9.140625" style="16"/>
    <col min="10493" max="10493" width="9.7109375" style="16" customWidth="1"/>
    <col min="10494" max="10508" width="9.140625" style="16"/>
    <col min="10509" max="10510" width="9.7109375" style="16" customWidth="1"/>
    <col min="10511" max="10682" width="9.140625" style="16"/>
    <col min="10683" max="10683" width="5.5703125" style="16" customWidth="1"/>
    <col min="10684" max="10690" width="9.140625" style="16"/>
    <col min="10691" max="10691" width="9.140625" style="16" customWidth="1"/>
    <col min="10692" max="10694" width="9.140625" style="16"/>
    <col min="10695" max="10695" width="6.28515625" style="16" customWidth="1"/>
    <col min="10696" max="10696" width="0" style="16" hidden="1" customWidth="1"/>
    <col min="10697" max="10712" width="9.140625" style="16"/>
    <col min="10713" max="10713" width="9" style="16" customWidth="1"/>
    <col min="10714" max="10748" width="9.140625" style="16"/>
    <col min="10749" max="10749" width="9.7109375" style="16" customWidth="1"/>
    <col min="10750" max="10764" width="9.140625" style="16"/>
    <col min="10765" max="10766" width="9.7109375" style="16" customWidth="1"/>
    <col min="10767" max="10938" width="9.140625" style="16"/>
    <col min="10939" max="10939" width="5.5703125" style="16" customWidth="1"/>
    <col min="10940" max="10946" width="9.140625" style="16"/>
    <col min="10947" max="10947" width="9.140625" style="16" customWidth="1"/>
    <col min="10948" max="10950" width="9.140625" style="16"/>
    <col min="10951" max="10951" width="6.28515625" style="16" customWidth="1"/>
    <col min="10952" max="10952" width="0" style="16" hidden="1" customWidth="1"/>
    <col min="10953" max="10968" width="9.140625" style="16"/>
    <col min="10969" max="10969" width="9" style="16" customWidth="1"/>
    <col min="10970" max="11004" width="9.140625" style="16"/>
    <col min="11005" max="11005" width="9.7109375" style="16" customWidth="1"/>
    <col min="11006" max="11020" width="9.140625" style="16"/>
    <col min="11021" max="11022" width="9.7109375" style="16" customWidth="1"/>
    <col min="11023" max="11194" width="9.140625" style="16"/>
    <col min="11195" max="11195" width="5.5703125" style="16" customWidth="1"/>
    <col min="11196" max="11202" width="9.140625" style="16"/>
    <col min="11203" max="11203" width="9.140625" style="16" customWidth="1"/>
    <col min="11204" max="11206" width="9.140625" style="16"/>
    <col min="11207" max="11207" width="6.28515625" style="16" customWidth="1"/>
    <col min="11208" max="11208" width="0" style="16" hidden="1" customWidth="1"/>
    <col min="11209" max="11224" width="9.140625" style="16"/>
    <col min="11225" max="11225" width="9" style="16" customWidth="1"/>
    <col min="11226" max="11260" width="9.140625" style="16"/>
    <col min="11261" max="11261" width="9.7109375" style="16" customWidth="1"/>
    <col min="11262" max="11276" width="9.140625" style="16"/>
    <col min="11277" max="11278" width="9.7109375" style="16" customWidth="1"/>
    <col min="11279" max="11450" width="9.140625" style="16"/>
    <col min="11451" max="11451" width="5.5703125" style="16" customWidth="1"/>
    <col min="11452" max="11458" width="9.140625" style="16"/>
    <col min="11459" max="11459" width="9.140625" style="16" customWidth="1"/>
    <col min="11460" max="11462" width="9.140625" style="16"/>
    <col min="11463" max="11463" width="6.28515625" style="16" customWidth="1"/>
    <col min="11464" max="11464" width="0" style="16" hidden="1" customWidth="1"/>
    <col min="11465" max="11480" width="9.140625" style="16"/>
    <col min="11481" max="11481" width="9" style="16" customWidth="1"/>
    <col min="11482" max="11516" width="9.140625" style="16"/>
    <col min="11517" max="11517" width="9.7109375" style="16" customWidth="1"/>
    <col min="11518" max="11532" width="9.140625" style="16"/>
    <col min="11533" max="11534" width="9.7109375" style="16" customWidth="1"/>
    <col min="11535" max="11706" width="9.140625" style="16"/>
    <col min="11707" max="11707" width="5.5703125" style="16" customWidth="1"/>
    <col min="11708" max="11714" width="9.140625" style="16"/>
    <col min="11715" max="11715" width="9.140625" style="16" customWidth="1"/>
    <col min="11716" max="11718" width="9.140625" style="16"/>
    <col min="11719" max="11719" width="6.28515625" style="16" customWidth="1"/>
    <col min="11720" max="11720" width="0" style="16" hidden="1" customWidth="1"/>
    <col min="11721" max="11736" width="9.140625" style="16"/>
    <col min="11737" max="11737" width="9" style="16" customWidth="1"/>
    <col min="11738" max="11772" width="9.140625" style="16"/>
    <col min="11773" max="11773" width="9.7109375" style="16" customWidth="1"/>
    <col min="11774" max="11788" width="9.140625" style="16"/>
    <col min="11789" max="11790" width="9.7109375" style="16" customWidth="1"/>
    <col min="11791" max="11962" width="9.140625" style="16"/>
    <col min="11963" max="11963" width="5.5703125" style="16" customWidth="1"/>
    <col min="11964" max="11970" width="9.140625" style="16"/>
    <col min="11971" max="11971" width="9.140625" style="16" customWidth="1"/>
    <col min="11972" max="11974" width="9.140625" style="16"/>
    <col min="11975" max="11975" width="6.28515625" style="16" customWidth="1"/>
    <col min="11976" max="11976" width="0" style="16" hidden="1" customWidth="1"/>
    <col min="11977" max="11992" width="9.140625" style="16"/>
    <col min="11993" max="11993" width="9" style="16" customWidth="1"/>
    <col min="11994" max="12028" width="9.140625" style="16"/>
    <col min="12029" max="12029" width="9.7109375" style="16" customWidth="1"/>
    <col min="12030" max="12044" width="9.140625" style="16"/>
    <col min="12045" max="12046" width="9.7109375" style="16" customWidth="1"/>
    <col min="12047" max="12218" width="9.140625" style="16"/>
    <col min="12219" max="12219" width="5.5703125" style="16" customWidth="1"/>
    <col min="12220" max="12226" width="9.140625" style="16"/>
    <col min="12227" max="12227" width="9.140625" style="16" customWidth="1"/>
    <col min="12228" max="12230" width="9.140625" style="16"/>
    <col min="12231" max="12231" width="6.28515625" style="16" customWidth="1"/>
    <col min="12232" max="12232" width="0" style="16" hidden="1" customWidth="1"/>
    <col min="12233" max="12248" width="9.140625" style="16"/>
    <col min="12249" max="12249" width="9" style="16" customWidth="1"/>
    <col min="12250" max="12284" width="9.140625" style="16"/>
    <col min="12285" max="12285" width="9.7109375" style="16" customWidth="1"/>
    <col min="12286" max="12300" width="9.140625" style="16"/>
    <col min="12301" max="12302" width="9.7109375" style="16" customWidth="1"/>
    <col min="12303" max="12474" width="9.140625" style="16"/>
    <col min="12475" max="12475" width="5.5703125" style="16" customWidth="1"/>
    <col min="12476" max="12482" width="9.140625" style="16"/>
    <col min="12483" max="12483" width="9.140625" style="16" customWidth="1"/>
    <col min="12484" max="12486" width="9.140625" style="16"/>
    <col min="12487" max="12487" width="6.28515625" style="16" customWidth="1"/>
    <col min="12488" max="12488" width="0" style="16" hidden="1" customWidth="1"/>
    <col min="12489" max="12504" width="9.140625" style="16"/>
    <col min="12505" max="12505" width="9" style="16" customWidth="1"/>
    <col min="12506" max="12540" width="9.140625" style="16"/>
    <col min="12541" max="12541" width="9.7109375" style="16" customWidth="1"/>
    <col min="12542" max="12556" width="9.140625" style="16"/>
    <col min="12557" max="12558" width="9.7109375" style="16" customWidth="1"/>
    <col min="12559" max="12730" width="9.140625" style="16"/>
    <col min="12731" max="12731" width="5.5703125" style="16" customWidth="1"/>
    <col min="12732" max="12738" width="9.140625" style="16"/>
    <col min="12739" max="12739" width="9.140625" style="16" customWidth="1"/>
    <col min="12740" max="12742" width="9.140625" style="16"/>
    <col min="12743" max="12743" width="6.28515625" style="16" customWidth="1"/>
    <col min="12744" max="12744" width="0" style="16" hidden="1" customWidth="1"/>
    <col min="12745" max="12760" width="9.140625" style="16"/>
    <col min="12761" max="12761" width="9" style="16" customWidth="1"/>
    <col min="12762" max="12796" width="9.140625" style="16"/>
    <col min="12797" max="12797" width="9.7109375" style="16" customWidth="1"/>
    <col min="12798" max="12812" width="9.140625" style="16"/>
    <col min="12813" max="12814" width="9.7109375" style="16" customWidth="1"/>
    <col min="12815" max="12986" width="9.140625" style="16"/>
    <col min="12987" max="12987" width="5.5703125" style="16" customWidth="1"/>
    <col min="12988" max="12994" width="9.140625" style="16"/>
    <col min="12995" max="12995" width="9.140625" style="16" customWidth="1"/>
    <col min="12996" max="12998" width="9.140625" style="16"/>
    <col min="12999" max="12999" width="6.28515625" style="16" customWidth="1"/>
    <col min="13000" max="13000" width="0" style="16" hidden="1" customWidth="1"/>
    <col min="13001" max="13016" width="9.140625" style="16"/>
    <col min="13017" max="13017" width="9" style="16" customWidth="1"/>
    <col min="13018" max="13052" width="9.140625" style="16"/>
    <col min="13053" max="13053" width="9.7109375" style="16" customWidth="1"/>
    <col min="13054" max="13068" width="9.140625" style="16"/>
    <col min="13069" max="13070" width="9.7109375" style="16" customWidth="1"/>
    <col min="13071" max="13242" width="9.140625" style="16"/>
    <col min="13243" max="13243" width="5.5703125" style="16" customWidth="1"/>
    <col min="13244" max="13250" width="9.140625" style="16"/>
    <col min="13251" max="13251" width="9.140625" style="16" customWidth="1"/>
    <col min="13252" max="13254" width="9.140625" style="16"/>
    <col min="13255" max="13255" width="6.28515625" style="16" customWidth="1"/>
    <col min="13256" max="13256" width="0" style="16" hidden="1" customWidth="1"/>
    <col min="13257" max="13272" width="9.140625" style="16"/>
    <col min="13273" max="13273" width="9" style="16" customWidth="1"/>
    <col min="13274" max="13308" width="9.140625" style="16"/>
    <col min="13309" max="13309" width="9.7109375" style="16" customWidth="1"/>
    <col min="13310" max="13324" width="9.140625" style="16"/>
    <col min="13325" max="13326" width="9.7109375" style="16" customWidth="1"/>
    <col min="13327" max="13498" width="9.140625" style="16"/>
    <col min="13499" max="13499" width="5.5703125" style="16" customWidth="1"/>
    <col min="13500" max="13506" width="9.140625" style="16"/>
    <col min="13507" max="13507" width="9.140625" style="16" customWidth="1"/>
    <col min="13508" max="13510" width="9.140625" style="16"/>
    <col min="13511" max="13511" width="6.28515625" style="16" customWidth="1"/>
    <col min="13512" max="13512" width="0" style="16" hidden="1" customWidth="1"/>
    <col min="13513" max="13528" width="9.140625" style="16"/>
    <col min="13529" max="13529" width="9" style="16" customWidth="1"/>
    <col min="13530" max="13564" width="9.140625" style="16"/>
    <col min="13565" max="13565" width="9.7109375" style="16" customWidth="1"/>
    <col min="13566" max="13580" width="9.140625" style="16"/>
    <col min="13581" max="13582" width="9.7109375" style="16" customWidth="1"/>
    <col min="13583" max="13754" width="9.140625" style="16"/>
    <col min="13755" max="13755" width="5.5703125" style="16" customWidth="1"/>
    <col min="13756" max="13762" width="9.140625" style="16"/>
    <col min="13763" max="13763" width="9.140625" style="16" customWidth="1"/>
    <col min="13764" max="13766" width="9.140625" style="16"/>
    <col min="13767" max="13767" width="6.28515625" style="16" customWidth="1"/>
    <col min="13768" max="13768" width="0" style="16" hidden="1" customWidth="1"/>
    <col min="13769" max="13784" width="9.140625" style="16"/>
    <col min="13785" max="13785" width="9" style="16" customWidth="1"/>
    <col min="13786" max="13820" width="9.140625" style="16"/>
    <col min="13821" max="13821" width="9.7109375" style="16" customWidth="1"/>
    <col min="13822" max="13836" width="9.140625" style="16"/>
    <col min="13837" max="13838" width="9.7109375" style="16" customWidth="1"/>
    <col min="13839" max="14010" width="9.140625" style="16"/>
    <col min="14011" max="14011" width="5.5703125" style="16" customWidth="1"/>
    <col min="14012" max="14018" width="9.140625" style="16"/>
    <col min="14019" max="14019" width="9.140625" style="16" customWidth="1"/>
    <col min="14020" max="14022" width="9.140625" style="16"/>
    <col min="14023" max="14023" width="6.28515625" style="16" customWidth="1"/>
    <col min="14024" max="14024" width="0" style="16" hidden="1" customWidth="1"/>
    <col min="14025" max="14040" width="9.140625" style="16"/>
    <col min="14041" max="14041" width="9" style="16" customWidth="1"/>
    <col min="14042" max="14076" width="9.140625" style="16"/>
    <col min="14077" max="14077" width="9.7109375" style="16" customWidth="1"/>
    <col min="14078" max="14092" width="9.140625" style="16"/>
    <col min="14093" max="14094" width="9.7109375" style="16" customWidth="1"/>
    <col min="14095" max="14266" width="9.140625" style="16"/>
    <col min="14267" max="14267" width="5.5703125" style="16" customWidth="1"/>
    <col min="14268" max="14274" width="9.140625" style="16"/>
    <col min="14275" max="14275" width="9.140625" style="16" customWidth="1"/>
    <col min="14276" max="14278" width="9.140625" style="16"/>
    <col min="14279" max="14279" width="6.28515625" style="16" customWidth="1"/>
    <col min="14280" max="14280" width="0" style="16" hidden="1" customWidth="1"/>
    <col min="14281" max="14296" width="9.140625" style="16"/>
    <col min="14297" max="14297" width="9" style="16" customWidth="1"/>
    <col min="14298" max="14332" width="9.140625" style="16"/>
    <col min="14333" max="14333" width="9.7109375" style="16" customWidth="1"/>
    <col min="14334" max="14348" width="9.140625" style="16"/>
    <col min="14349" max="14350" width="9.7109375" style="16" customWidth="1"/>
    <col min="14351" max="14522" width="9.140625" style="16"/>
    <col min="14523" max="14523" width="5.5703125" style="16" customWidth="1"/>
    <col min="14524" max="14530" width="9.140625" style="16"/>
    <col min="14531" max="14531" width="9.140625" style="16" customWidth="1"/>
    <col min="14532" max="14534" width="9.140625" style="16"/>
    <col min="14535" max="14535" width="6.28515625" style="16" customWidth="1"/>
    <col min="14536" max="14536" width="0" style="16" hidden="1" customWidth="1"/>
    <col min="14537" max="14552" width="9.140625" style="16"/>
    <col min="14553" max="14553" width="9" style="16" customWidth="1"/>
    <col min="14554" max="14588" width="9.140625" style="16"/>
    <col min="14589" max="14589" width="9.7109375" style="16" customWidth="1"/>
    <col min="14590" max="14604" width="9.140625" style="16"/>
    <col min="14605" max="14606" width="9.7109375" style="16" customWidth="1"/>
    <col min="14607" max="14778" width="9.140625" style="16"/>
    <col min="14779" max="14779" width="5.5703125" style="16" customWidth="1"/>
    <col min="14780" max="14786" width="9.140625" style="16"/>
    <col min="14787" max="14787" width="9.140625" style="16" customWidth="1"/>
    <col min="14788" max="14790" width="9.140625" style="16"/>
    <col min="14791" max="14791" width="6.28515625" style="16" customWidth="1"/>
    <col min="14792" max="14792" width="0" style="16" hidden="1" customWidth="1"/>
    <col min="14793" max="14808" width="9.140625" style="16"/>
    <col min="14809" max="14809" width="9" style="16" customWidth="1"/>
    <col min="14810" max="14844" width="9.140625" style="16"/>
    <col min="14845" max="14845" width="9.7109375" style="16" customWidth="1"/>
    <col min="14846" max="14860" width="9.140625" style="16"/>
    <col min="14861" max="14862" width="9.7109375" style="16" customWidth="1"/>
    <col min="14863" max="15034" width="9.140625" style="16"/>
    <col min="15035" max="15035" width="5.5703125" style="16" customWidth="1"/>
    <col min="15036" max="15042" width="9.140625" style="16"/>
    <col min="15043" max="15043" width="9.140625" style="16" customWidth="1"/>
    <col min="15044" max="15046" width="9.140625" style="16"/>
    <col min="15047" max="15047" width="6.28515625" style="16" customWidth="1"/>
    <col min="15048" max="15048" width="0" style="16" hidden="1" customWidth="1"/>
    <col min="15049" max="15064" width="9.140625" style="16"/>
    <col min="15065" max="15065" width="9" style="16" customWidth="1"/>
    <col min="15066" max="15100" width="9.140625" style="16"/>
    <col min="15101" max="15101" width="9.7109375" style="16" customWidth="1"/>
    <col min="15102" max="15116" width="9.140625" style="16"/>
    <col min="15117" max="15118" width="9.7109375" style="16" customWidth="1"/>
    <col min="15119" max="15290" width="9.140625" style="16"/>
    <col min="15291" max="15291" width="5.5703125" style="16" customWidth="1"/>
    <col min="15292" max="15298" width="9.140625" style="16"/>
    <col min="15299" max="15299" width="9.140625" style="16" customWidth="1"/>
    <col min="15300" max="15302" width="9.140625" style="16"/>
    <col min="15303" max="15303" width="6.28515625" style="16" customWidth="1"/>
    <col min="15304" max="15304" width="0" style="16" hidden="1" customWidth="1"/>
    <col min="15305" max="15320" width="9.140625" style="16"/>
    <col min="15321" max="15321" width="9" style="16" customWidth="1"/>
    <col min="15322" max="15356" width="9.140625" style="16"/>
    <col min="15357" max="15357" width="9.7109375" style="16" customWidth="1"/>
    <col min="15358" max="15372" width="9.140625" style="16"/>
    <col min="15373" max="15374" width="9.7109375" style="16" customWidth="1"/>
    <col min="15375" max="15546" width="9.140625" style="16"/>
    <col min="15547" max="15547" width="5.5703125" style="16" customWidth="1"/>
    <col min="15548" max="15554" width="9.140625" style="16"/>
    <col min="15555" max="15555" width="9.140625" style="16" customWidth="1"/>
    <col min="15556" max="15558" width="9.140625" style="16"/>
    <col min="15559" max="15559" width="6.28515625" style="16" customWidth="1"/>
    <col min="15560" max="15560" width="0" style="16" hidden="1" customWidth="1"/>
    <col min="15561" max="15576" width="9.140625" style="16"/>
    <col min="15577" max="15577" width="9" style="16" customWidth="1"/>
    <col min="15578" max="15612" width="9.140625" style="16"/>
    <col min="15613" max="15613" width="9.7109375" style="16" customWidth="1"/>
    <col min="15614" max="15628" width="9.140625" style="16"/>
    <col min="15629" max="15630" width="9.7109375" style="16" customWidth="1"/>
    <col min="15631" max="15802" width="9.140625" style="16"/>
    <col min="15803" max="15803" width="5.5703125" style="16" customWidth="1"/>
    <col min="15804" max="15810" width="9.140625" style="16"/>
    <col min="15811" max="15811" width="9.140625" style="16" customWidth="1"/>
    <col min="15812" max="15814" width="9.140625" style="16"/>
    <col min="15815" max="15815" width="6.28515625" style="16" customWidth="1"/>
    <col min="15816" max="15816" width="0" style="16" hidden="1" customWidth="1"/>
    <col min="15817" max="15832" width="9.140625" style="16"/>
    <col min="15833" max="15833" width="9" style="16" customWidth="1"/>
    <col min="15834" max="15868" width="9.140625" style="16"/>
    <col min="15869" max="15869" width="9.7109375" style="16" customWidth="1"/>
    <col min="15870" max="15884" width="9.140625" style="16"/>
    <col min="15885" max="15886" width="9.7109375" style="16" customWidth="1"/>
    <col min="15887" max="16058" width="9.140625" style="16"/>
    <col min="16059" max="16059" width="5.5703125" style="16" customWidth="1"/>
    <col min="16060" max="16066" width="9.140625" style="16"/>
    <col min="16067" max="16067" width="9.140625" style="16" customWidth="1"/>
    <col min="16068" max="16070" width="9.140625" style="16"/>
    <col min="16071" max="16071" width="6.28515625" style="16" customWidth="1"/>
    <col min="16072" max="16072" width="0" style="16" hidden="1" customWidth="1"/>
    <col min="16073" max="16088" width="9.140625" style="16"/>
    <col min="16089" max="16089" width="9" style="16" customWidth="1"/>
    <col min="16090" max="16124" width="9.140625" style="16"/>
    <col min="16125" max="16125" width="9.7109375" style="16" customWidth="1"/>
    <col min="16126" max="16140" width="9.140625" style="16"/>
    <col min="16141" max="16142" width="9.7109375" style="16" customWidth="1"/>
    <col min="16143" max="16384" width="9.140625" style="16"/>
  </cols>
  <sheetData>
    <row r="1" spans="1:80" s="6" customFormat="1" ht="15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123" t="s">
        <v>2</v>
      </c>
      <c r="T1" s="124"/>
      <c r="U1" s="124"/>
      <c r="V1" s="124"/>
      <c r="W1" s="125"/>
      <c r="X1" s="5" t="s">
        <v>4</v>
      </c>
      <c r="Y1" s="5" t="s">
        <v>5</v>
      </c>
      <c r="Z1" s="5" t="s">
        <v>7</v>
      </c>
      <c r="AA1" s="4" t="s">
        <v>8</v>
      </c>
    </row>
    <row r="2" spans="1:80" s="6" customFormat="1" ht="15.75" customHeight="1" thickBot="1" x14ac:dyDescent="0.25">
      <c r="A2" s="7" t="s">
        <v>9</v>
      </c>
      <c r="B2" s="2"/>
      <c r="E2" s="8" t="s">
        <v>10</v>
      </c>
      <c r="F2" s="2"/>
      <c r="G2" s="9" t="s">
        <v>11</v>
      </c>
      <c r="I2" s="2"/>
      <c r="J2" s="2"/>
      <c r="K2" s="2"/>
      <c r="L2" s="2"/>
      <c r="M2" s="2"/>
      <c r="N2" s="2"/>
      <c r="O2" s="2"/>
      <c r="P2" s="2"/>
      <c r="Q2" s="2"/>
      <c r="R2" s="10">
        <v>1</v>
      </c>
      <c r="S2" s="120" t="s">
        <v>70</v>
      </c>
      <c r="T2" s="121"/>
      <c r="U2" s="121"/>
      <c r="V2" s="121"/>
      <c r="W2" s="122"/>
      <c r="X2" s="10">
        <v>19</v>
      </c>
      <c r="Y2" s="11">
        <v>13</v>
      </c>
      <c r="Z2" s="10">
        <v>3</v>
      </c>
      <c r="AA2" s="12">
        <f>SUM(X2:Z2)</f>
        <v>35</v>
      </c>
    </row>
    <row r="3" spans="1:80" s="6" customFormat="1" ht="15.75" customHeight="1" thickBot="1" x14ac:dyDescent="0.25">
      <c r="A3" s="13" t="s">
        <v>72</v>
      </c>
      <c r="B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0">
        <v>2</v>
      </c>
      <c r="S3" s="120" t="s">
        <v>71</v>
      </c>
      <c r="T3" s="121"/>
      <c r="U3" s="121"/>
      <c r="V3" s="121"/>
      <c r="W3" s="122"/>
      <c r="X3" s="10">
        <v>516</v>
      </c>
      <c r="Y3" s="11">
        <v>331</v>
      </c>
      <c r="Z3" s="10">
        <v>67</v>
      </c>
      <c r="AA3" s="12">
        <f>SUM(X3:Z3)</f>
        <v>914</v>
      </c>
    </row>
    <row r="4" spans="1:80" s="6" customFormat="1" ht="30" customHeight="1" thickBot="1" x14ac:dyDescent="0.35">
      <c r="A4" s="126" t="s">
        <v>12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7"/>
      <c r="R4" s="10">
        <v>3</v>
      </c>
      <c r="S4" s="128" t="s">
        <v>13</v>
      </c>
      <c r="T4" s="129"/>
      <c r="U4" s="129"/>
      <c r="V4" s="129"/>
      <c r="W4" s="130"/>
      <c r="X4" s="10">
        <v>730</v>
      </c>
      <c r="Y4" s="11">
        <v>727.5</v>
      </c>
      <c r="Z4" s="10">
        <v>190.5</v>
      </c>
      <c r="AA4" s="12">
        <f>SUM(X4:Z4)</f>
        <v>1648</v>
      </c>
    </row>
    <row r="5" spans="1:80" s="6" customFormat="1" ht="15.75" customHeight="1" thickBot="1" x14ac:dyDescent="0.25">
      <c r="A5" s="131" t="s">
        <v>67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2"/>
      <c r="R5" s="10" t="s">
        <v>14</v>
      </c>
      <c r="S5" s="120" t="s">
        <v>15</v>
      </c>
      <c r="T5" s="121"/>
      <c r="U5" s="121"/>
      <c r="V5" s="121"/>
      <c r="W5" s="122"/>
      <c r="X5" s="10">
        <v>511</v>
      </c>
      <c r="Y5" s="11">
        <v>447</v>
      </c>
      <c r="Z5" s="10">
        <v>117</v>
      </c>
      <c r="AA5" s="12">
        <f>SUM(X5:Z5)</f>
        <v>1075</v>
      </c>
    </row>
    <row r="6" spans="1:80" s="6" customFormat="1" ht="15.75" customHeight="1" thickBot="1" x14ac:dyDescent="0.25">
      <c r="A6" s="118" t="s">
        <v>68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  <c r="R6" s="10" t="s">
        <v>16</v>
      </c>
      <c r="S6" s="120" t="s">
        <v>17</v>
      </c>
      <c r="T6" s="121"/>
      <c r="U6" s="121"/>
      <c r="V6" s="121"/>
      <c r="W6" s="122"/>
      <c r="X6" s="10">
        <v>219</v>
      </c>
      <c r="Y6" s="11">
        <v>280.5</v>
      </c>
      <c r="Z6" s="10">
        <v>73.5</v>
      </c>
      <c r="AA6" s="12">
        <f>SUM(X6:Z6)</f>
        <v>573</v>
      </c>
    </row>
    <row r="7" spans="1:80" ht="15.75" thickBot="1" x14ac:dyDescent="0.3">
      <c r="BS7" s="17"/>
      <c r="BT7" s="18"/>
      <c r="BU7" s="18"/>
      <c r="BV7" s="18"/>
      <c r="BW7" s="18"/>
      <c r="BX7" s="18"/>
      <c r="BY7" s="19"/>
      <c r="BZ7" s="19"/>
      <c r="CA7" s="19"/>
      <c r="CB7" s="19"/>
    </row>
    <row r="8" spans="1:80" s="20" customFormat="1" ht="15.75" customHeight="1" thickBot="1" x14ac:dyDescent="0.25">
      <c r="A8" s="95" t="s">
        <v>18</v>
      </c>
      <c r="B8" s="102" t="s">
        <v>19</v>
      </c>
      <c r="C8" s="102" t="s">
        <v>20</v>
      </c>
      <c r="D8" s="95" t="s">
        <v>21</v>
      </c>
      <c r="E8" s="95" t="s">
        <v>22</v>
      </c>
      <c r="F8" s="95" t="s">
        <v>23</v>
      </c>
      <c r="G8" s="95" t="s">
        <v>24</v>
      </c>
      <c r="H8" s="102" t="s">
        <v>25</v>
      </c>
      <c r="I8" s="102" t="s">
        <v>26</v>
      </c>
      <c r="J8" s="102" t="s">
        <v>27</v>
      </c>
      <c r="K8" s="95" t="s">
        <v>28</v>
      </c>
      <c r="L8" s="95" t="s">
        <v>29</v>
      </c>
      <c r="M8" s="95" t="s">
        <v>30</v>
      </c>
      <c r="N8" s="111" t="s">
        <v>31</v>
      </c>
      <c r="O8" s="114" t="s">
        <v>32</v>
      </c>
      <c r="P8" s="115"/>
      <c r="Q8" s="115"/>
      <c r="R8" s="114" t="s">
        <v>33</v>
      </c>
      <c r="S8" s="115"/>
      <c r="T8" s="116"/>
      <c r="U8" s="115" t="s">
        <v>34</v>
      </c>
      <c r="V8" s="115"/>
      <c r="W8" s="116"/>
      <c r="X8" s="100"/>
      <c r="Y8" s="100"/>
      <c r="Z8" s="101"/>
      <c r="AA8" s="95" t="s">
        <v>35</v>
      </c>
      <c r="AB8" s="100" t="s">
        <v>36</v>
      </c>
      <c r="AC8" s="100"/>
      <c r="AD8" s="100"/>
      <c r="AE8" s="100"/>
      <c r="AF8" s="100"/>
      <c r="AG8" s="100"/>
      <c r="AH8" s="100"/>
      <c r="AI8" s="100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00"/>
      <c r="AV8" s="100"/>
      <c r="AW8" s="100"/>
      <c r="AX8" s="100"/>
      <c r="AY8" s="101"/>
      <c r="AZ8" s="90" t="s">
        <v>37</v>
      </c>
      <c r="BA8" s="102" t="s">
        <v>38</v>
      </c>
    </row>
    <row r="9" spans="1:80" s="20" customFormat="1" ht="15.75" customHeight="1" thickBot="1" x14ac:dyDescent="0.25">
      <c r="A9" s="104"/>
      <c r="B9" s="110"/>
      <c r="C9" s="110"/>
      <c r="D9" s="104"/>
      <c r="E9" s="104"/>
      <c r="F9" s="104"/>
      <c r="G9" s="104"/>
      <c r="H9" s="110"/>
      <c r="I9" s="110"/>
      <c r="J9" s="110"/>
      <c r="K9" s="110"/>
      <c r="L9" s="110"/>
      <c r="M9" s="104"/>
      <c r="N9" s="112"/>
      <c r="O9" s="107" t="s">
        <v>39</v>
      </c>
      <c r="P9" s="104" t="s">
        <v>40</v>
      </c>
      <c r="Q9" s="104" t="s">
        <v>41</v>
      </c>
      <c r="R9" s="107" t="s">
        <v>39</v>
      </c>
      <c r="S9" s="104" t="s">
        <v>40</v>
      </c>
      <c r="T9" s="104" t="s">
        <v>41</v>
      </c>
      <c r="U9" s="105" t="s">
        <v>3</v>
      </c>
      <c r="V9" s="106"/>
      <c r="W9" s="105" t="s">
        <v>42</v>
      </c>
      <c r="X9" s="98"/>
      <c r="Y9" s="97" t="s">
        <v>6</v>
      </c>
      <c r="Z9" s="98"/>
      <c r="AA9" s="104"/>
      <c r="AB9" s="99" t="s">
        <v>43</v>
      </c>
      <c r="AC9" s="100"/>
      <c r="AD9" s="101"/>
      <c r="AE9" s="95" t="s">
        <v>44</v>
      </c>
      <c r="AF9" s="102" t="s">
        <v>45</v>
      </c>
      <c r="AG9" s="95" t="s">
        <v>46</v>
      </c>
      <c r="AH9" s="95" t="s">
        <v>47</v>
      </c>
      <c r="AI9" s="95" t="s">
        <v>48</v>
      </c>
      <c r="AJ9" s="92" t="s">
        <v>49</v>
      </c>
      <c r="AK9" s="93"/>
      <c r="AL9" s="92" t="s">
        <v>50</v>
      </c>
      <c r="AM9" s="93"/>
      <c r="AN9" s="92" t="s">
        <v>51</v>
      </c>
      <c r="AO9" s="93"/>
      <c r="AP9" s="92" t="s">
        <v>52</v>
      </c>
      <c r="AQ9" s="94"/>
      <c r="AR9" s="94"/>
      <c r="AS9" s="94"/>
      <c r="AT9" s="93"/>
      <c r="AU9" s="88" t="s">
        <v>53</v>
      </c>
      <c r="AV9" s="88" t="s">
        <v>54</v>
      </c>
      <c r="AW9" s="88" t="s">
        <v>55</v>
      </c>
      <c r="AX9" s="88" t="s">
        <v>56</v>
      </c>
      <c r="AY9" s="90" t="s">
        <v>57</v>
      </c>
      <c r="AZ9" s="109"/>
      <c r="BA9" s="110"/>
    </row>
    <row r="10" spans="1:80" s="20" customFormat="1" ht="15.75" customHeight="1" thickBot="1" x14ac:dyDescent="0.25">
      <c r="A10" s="96"/>
      <c r="B10" s="103"/>
      <c r="C10" s="103"/>
      <c r="D10" s="96"/>
      <c r="E10" s="96"/>
      <c r="F10" s="96"/>
      <c r="G10" s="96"/>
      <c r="H10" s="103"/>
      <c r="I10" s="103"/>
      <c r="J10" s="103"/>
      <c r="K10" s="103"/>
      <c r="L10" s="103"/>
      <c r="M10" s="96"/>
      <c r="N10" s="113"/>
      <c r="O10" s="108"/>
      <c r="P10" s="96"/>
      <c r="Q10" s="96"/>
      <c r="R10" s="108"/>
      <c r="S10" s="96"/>
      <c r="T10" s="96"/>
      <c r="U10" s="21" t="s">
        <v>58</v>
      </c>
      <c r="V10" s="21" t="s">
        <v>59</v>
      </c>
      <c r="W10" s="21" t="s">
        <v>58</v>
      </c>
      <c r="X10" s="21" t="s">
        <v>59</v>
      </c>
      <c r="Y10" s="21" t="s">
        <v>58</v>
      </c>
      <c r="Z10" s="21" t="s">
        <v>59</v>
      </c>
      <c r="AA10" s="96"/>
      <c r="AB10" s="22">
        <v>1</v>
      </c>
      <c r="AC10" s="22">
        <v>0.7</v>
      </c>
      <c r="AD10" s="22">
        <v>0.3</v>
      </c>
      <c r="AE10" s="96"/>
      <c r="AF10" s="103"/>
      <c r="AG10" s="96"/>
      <c r="AH10" s="96"/>
      <c r="AI10" s="96"/>
      <c r="AJ10" s="24" t="s">
        <v>60</v>
      </c>
      <c r="AK10" s="23" t="s">
        <v>59</v>
      </c>
      <c r="AL10" s="24" t="s">
        <v>60</v>
      </c>
      <c r="AM10" s="23" t="s">
        <v>59</v>
      </c>
      <c r="AN10" s="24" t="s">
        <v>60</v>
      </c>
      <c r="AO10" s="23" t="s">
        <v>59</v>
      </c>
      <c r="AP10" s="24" t="s">
        <v>60</v>
      </c>
      <c r="AQ10" s="23" t="s">
        <v>61</v>
      </c>
      <c r="AR10" s="23" t="s">
        <v>62</v>
      </c>
      <c r="AS10" s="23" t="s">
        <v>63</v>
      </c>
      <c r="AT10" s="23" t="s">
        <v>64</v>
      </c>
      <c r="AU10" s="89"/>
      <c r="AV10" s="89"/>
      <c r="AW10" s="89"/>
      <c r="AX10" s="89"/>
      <c r="AY10" s="91"/>
      <c r="AZ10" s="91"/>
      <c r="BA10" s="103"/>
    </row>
    <row r="11" spans="1:80" s="25" customFormat="1" ht="12" thickBot="1" x14ac:dyDescent="0.25">
      <c r="A11" s="51" t="s">
        <v>85</v>
      </c>
      <c r="B11" s="51" t="s">
        <v>91</v>
      </c>
      <c r="C11" s="51" t="s">
        <v>81</v>
      </c>
      <c r="D11" s="51" t="s">
        <v>96</v>
      </c>
      <c r="E11" s="51" t="s">
        <v>263</v>
      </c>
      <c r="F11" s="51" t="s">
        <v>264</v>
      </c>
      <c r="G11" s="51" t="s">
        <v>265</v>
      </c>
      <c r="H11" s="51" t="s">
        <v>266</v>
      </c>
      <c r="I11" s="51" t="s">
        <v>267</v>
      </c>
      <c r="J11" s="51" t="s">
        <v>268</v>
      </c>
      <c r="K11" s="51" t="s">
        <v>269</v>
      </c>
      <c r="L11" s="51" t="s">
        <v>270</v>
      </c>
      <c r="M11" s="51" t="s">
        <v>271</v>
      </c>
      <c r="N11" s="51"/>
      <c r="O11" s="52">
        <v>14</v>
      </c>
      <c r="P11" s="52">
        <v>15</v>
      </c>
      <c r="Q11" s="52">
        <v>16</v>
      </c>
      <c r="R11" s="52">
        <v>17</v>
      </c>
      <c r="S11" s="52">
        <v>18</v>
      </c>
      <c r="T11" s="52">
        <v>19</v>
      </c>
      <c r="U11" s="52">
        <v>20</v>
      </c>
      <c r="V11" s="52">
        <v>21</v>
      </c>
      <c r="W11" s="52">
        <v>22</v>
      </c>
      <c r="X11" s="52">
        <v>23</v>
      </c>
      <c r="Y11" s="52">
        <v>24</v>
      </c>
      <c r="Z11" s="52">
        <v>25</v>
      </c>
      <c r="AA11" s="52">
        <v>26</v>
      </c>
      <c r="AB11" s="52">
        <v>27</v>
      </c>
      <c r="AC11" s="52">
        <v>28</v>
      </c>
      <c r="AD11" s="52">
        <v>29</v>
      </c>
      <c r="AE11" s="52">
        <v>30</v>
      </c>
      <c r="AF11" s="52">
        <v>31</v>
      </c>
      <c r="AG11" s="52">
        <v>32</v>
      </c>
      <c r="AH11" s="52">
        <v>33</v>
      </c>
      <c r="AI11" s="52">
        <v>34</v>
      </c>
      <c r="AJ11" s="52">
        <v>35</v>
      </c>
      <c r="AK11" s="52">
        <v>36</v>
      </c>
      <c r="AL11" s="52">
        <v>37</v>
      </c>
      <c r="AM11" s="52">
        <v>38</v>
      </c>
      <c r="AN11" s="52">
        <v>39</v>
      </c>
      <c r="AO11" s="52">
        <v>40</v>
      </c>
      <c r="AP11" s="52">
        <v>41</v>
      </c>
      <c r="AQ11" s="52">
        <v>42</v>
      </c>
      <c r="AR11" s="52">
        <v>43</v>
      </c>
      <c r="AS11" s="52">
        <v>44</v>
      </c>
      <c r="AT11" s="52">
        <v>45</v>
      </c>
      <c r="AU11" s="52">
        <v>46</v>
      </c>
      <c r="AV11" s="52">
        <v>47</v>
      </c>
      <c r="AW11" s="52">
        <v>48</v>
      </c>
      <c r="AX11" s="52">
        <v>49</v>
      </c>
      <c r="AY11" s="52">
        <v>50</v>
      </c>
      <c r="AZ11" s="52">
        <v>51</v>
      </c>
      <c r="BA11" s="52">
        <v>52</v>
      </c>
    </row>
    <row r="12" spans="1:80" s="20" customFormat="1" ht="12" thickBot="1" x14ac:dyDescent="0.25">
      <c r="A12" s="84">
        <v>1</v>
      </c>
      <c r="B12" s="82" t="s">
        <v>75</v>
      </c>
      <c r="C12" s="53" t="s">
        <v>76</v>
      </c>
      <c r="D12" s="54" t="s">
        <v>77</v>
      </c>
      <c r="E12" s="54" t="s">
        <v>78</v>
      </c>
      <c r="F12" s="53" t="s">
        <v>79</v>
      </c>
      <c r="G12" s="54" t="s">
        <v>80</v>
      </c>
      <c r="H12" s="55" t="s">
        <v>81</v>
      </c>
      <c r="I12" s="56">
        <v>6.22</v>
      </c>
      <c r="J12" s="57">
        <f>N12*I12</f>
        <v>110075.34</v>
      </c>
      <c r="K12" s="58">
        <v>1.25</v>
      </c>
      <c r="L12" s="57">
        <f>J12*K12</f>
        <v>137594.17499999999</v>
      </c>
      <c r="M12" s="59">
        <v>1</v>
      </c>
      <c r="N12" s="57">
        <v>17697</v>
      </c>
      <c r="O12" s="58"/>
      <c r="P12" s="58"/>
      <c r="Q12" s="58"/>
      <c r="R12" s="60"/>
      <c r="S12" s="60"/>
      <c r="T12" s="60"/>
      <c r="U12" s="58"/>
      <c r="V12" s="57"/>
      <c r="W12" s="58"/>
      <c r="X12" s="57"/>
      <c r="Y12" s="58"/>
      <c r="Z12" s="57"/>
      <c r="AA12" s="60">
        <f t="shared" ref="AA12:AA43" si="0">SUM(R12:T12,V12,X12,Z12)</f>
        <v>0</v>
      </c>
      <c r="AB12" s="57"/>
      <c r="AC12" s="57"/>
      <c r="AD12" s="57"/>
      <c r="AE12" s="57"/>
      <c r="AF12" s="57"/>
      <c r="AG12" s="57"/>
      <c r="AH12" s="57"/>
      <c r="AI12" s="57"/>
      <c r="AJ12" s="58"/>
      <c r="AK12" s="61"/>
      <c r="AL12" s="58"/>
      <c r="AM12" s="61"/>
      <c r="AN12" s="58"/>
      <c r="AO12" s="61"/>
      <c r="AP12" s="58"/>
      <c r="AQ12" s="61"/>
      <c r="AR12" s="61"/>
      <c r="AS12" s="61"/>
      <c r="AT12" s="61"/>
      <c r="AU12" s="61"/>
      <c r="AV12" s="61"/>
      <c r="AW12" s="61"/>
      <c r="AX12" s="61"/>
      <c r="AY12" s="61"/>
      <c r="AZ12" s="61">
        <f>L12*M12</f>
        <v>137594.17499999999</v>
      </c>
      <c r="BA12" s="71">
        <f t="array" ref="BA12">SUM(ROUND(AA12:AI12,0),ROUND(AK12:AK12,0),ROUND(AM12:AM12,0),ROUND(AO12:AO12,0),ROUND(AQ12:AZ12,0))</f>
        <v>137594</v>
      </c>
    </row>
    <row r="13" spans="1:80" s="20" customFormat="1" ht="12" thickBot="1" x14ac:dyDescent="0.25">
      <c r="A13" s="87"/>
      <c r="B13" s="86"/>
      <c r="C13" s="42" t="s">
        <v>82</v>
      </c>
      <c r="D13" s="43" t="s">
        <v>77</v>
      </c>
      <c r="E13" s="43" t="s">
        <v>83</v>
      </c>
      <c r="F13" s="42" t="s">
        <v>79</v>
      </c>
      <c r="G13" s="43" t="s">
        <v>84</v>
      </c>
      <c r="H13" s="44" t="s">
        <v>85</v>
      </c>
      <c r="I13" s="45">
        <v>5.41</v>
      </c>
      <c r="J13" s="46">
        <f t="shared" ref="J13:J76" si="1">N13*I13</f>
        <v>95740.77</v>
      </c>
      <c r="K13" s="47">
        <v>1.25</v>
      </c>
      <c r="L13" s="46">
        <f t="shared" ref="L13:L76" si="2">J13*K13</f>
        <v>119675.96250000001</v>
      </c>
      <c r="M13" s="48"/>
      <c r="N13" s="46">
        <v>17697</v>
      </c>
      <c r="O13" s="47"/>
      <c r="P13" s="47">
        <v>9</v>
      </c>
      <c r="Q13" s="47"/>
      <c r="R13" s="49" t="str">
        <f>IF(O13&gt;0,$L13/18*O13,"")</f>
        <v/>
      </c>
      <c r="S13" s="49">
        <f>IF(P13&gt;0,$L13/18*P13,"")</f>
        <v>59837.981250000004</v>
      </c>
      <c r="T13" s="49" t="str">
        <f>IF(Q13&gt;0,$L13/18*Q13,"")</f>
        <v/>
      </c>
      <c r="U13" s="47"/>
      <c r="V13" s="46"/>
      <c r="W13" s="47"/>
      <c r="X13" s="46"/>
      <c r="Y13" s="47"/>
      <c r="Z13" s="46"/>
      <c r="AA13" s="49">
        <f t="shared" si="0"/>
        <v>59837.981250000004</v>
      </c>
      <c r="AB13" s="46"/>
      <c r="AC13" s="46"/>
      <c r="AD13" s="46"/>
      <c r="AE13" s="46"/>
      <c r="AF13" s="46"/>
      <c r="AG13" s="46"/>
      <c r="AH13" s="46"/>
      <c r="AI13" s="46">
        <f>N13*0.2*9/18</f>
        <v>1769.7</v>
      </c>
      <c r="AJ13" s="47"/>
      <c r="AK13" s="50"/>
      <c r="AL13" s="47">
        <v>9</v>
      </c>
      <c r="AM13" s="50">
        <f>L13*0.3*AL13/18</f>
        <v>17951.394375</v>
      </c>
      <c r="AN13" s="47"/>
      <c r="AO13" s="50"/>
      <c r="AP13" s="47"/>
      <c r="AQ13" s="50"/>
      <c r="AR13" s="50"/>
      <c r="AS13" s="50"/>
      <c r="AT13" s="50"/>
      <c r="AU13" s="50"/>
      <c r="AV13" s="50"/>
      <c r="AW13" s="50"/>
      <c r="AX13" s="50"/>
      <c r="AY13" s="50">
        <f>L13*0.1*SUM(O13:Q13)/18</f>
        <v>5983.7981250000012</v>
      </c>
      <c r="AZ13" s="50"/>
      <c r="BA13" s="71">
        <f t="array" ref="BA13">SUM(ROUND(AA13:AI13,0),ROUND(AK13:AK13,0),ROUND(AM13:AM13,0),ROUND(AO13:AO13,0),ROUND(AQ13:AZ13,0))</f>
        <v>85543</v>
      </c>
    </row>
    <row r="14" spans="1:80" s="20" customFormat="1" ht="12" thickBot="1" x14ac:dyDescent="0.25">
      <c r="A14" s="84">
        <v>2</v>
      </c>
      <c r="B14" s="82" t="s">
        <v>86</v>
      </c>
      <c r="C14" s="53" t="s">
        <v>87</v>
      </c>
      <c r="D14" s="54" t="s">
        <v>77</v>
      </c>
      <c r="E14" s="54" t="s">
        <v>78</v>
      </c>
      <c r="F14" s="53" t="s">
        <v>88</v>
      </c>
      <c r="G14" s="54" t="s">
        <v>80</v>
      </c>
      <c r="H14" s="55" t="s">
        <v>89</v>
      </c>
      <c r="I14" s="56">
        <v>5.74</v>
      </c>
      <c r="J14" s="57">
        <f t="shared" si="1"/>
        <v>101580.78</v>
      </c>
      <c r="K14" s="58">
        <v>1.25</v>
      </c>
      <c r="L14" s="57">
        <f t="shared" si="2"/>
        <v>126975.97500000001</v>
      </c>
      <c r="M14" s="59">
        <v>1</v>
      </c>
      <c r="N14" s="57">
        <v>17697</v>
      </c>
      <c r="O14" s="58"/>
      <c r="P14" s="58"/>
      <c r="Q14" s="58"/>
      <c r="R14" s="60"/>
      <c r="S14" s="60"/>
      <c r="T14" s="60"/>
      <c r="U14" s="58"/>
      <c r="V14" s="57"/>
      <c r="W14" s="58"/>
      <c r="X14" s="57"/>
      <c r="Y14" s="58"/>
      <c r="Z14" s="57"/>
      <c r="AA14" s="60">
        <f t="shared" si="0"/>
        <v>0</v>
      </c>
      <c r="AB14" s="57"/>
      <c r="AC14" s="57"/>
      <c r="AD14" s="57"/>
      <c r="AE14" s="57"/>
      <c r="AF14" s="57"/>
      <c r="AG14" s="57"/>
      <c r="AH14" s="57"/>
      <c r="AI14" s="57"/>
      <c r="AJ14" s="58"/>
      <c r="AK14" s="61"/>
      <c r="AL14" s="58"/>
      <c r="AM14" s="61"/>
      <c r="AN14" s="58"/>
      <c r="AO14" s="61"/>
      <c r="AP14" s="58"/>
      <c r="AQ14" s="61"/>
      <c r="AR14" s="61"/>
      <c r="AS14" s="61"/>
      <c r="AT14" s="61"/>
      <c r="AU14" s="61"/>
      <c r="AV14" s="61"/>
      <c r="AW14" s="61"/>
      <c r="AX14" s="61"/>
      <c r="AY14" s="61"/>
      <c r="AZ14" s="61">
        <f>L14*M14</f>
        <v>126975.97500000001</v>
      </c>
      <c r="BA14" s="71">
        <f t="array" ref="BA14">SUM(ROUND(AA14:AI14,0),ROUND(AK14:AK14,0),ROUND(AM14:AM14,0),ROUND(AO14:AO14,0),ROUND(AQ14:AZ14,0))</f>
        <v>126976</v>
      </c>
    </row>
    <row r="15" spans="1:80" s="20" customFormat="1" ht="12" thickBot="1" x14ac:dyDescent="0.25">
      <c r="A15" s="87"/>
      <c r="B15" s="86"/>
      <c r="C15" s="42" t="s">
        <v>90</v>
      </c>
      <c r="D15" s="43" t="s">
        <v>77</v>
      </c>
      <c r="E15" s="43">
        <v>1</v>
      </c>
      <c r="F15" s="42" t="s">
        <v>88</v>
      </c>
      <c r="G15" s="43" t="s">
        <v>84</v>
      </c>
      <c r="H15" s="44" t="s">
        <v>91</v>
      </c>
      <c r="I15" s="45">
        <v>5.12</v>
      </c>
      <c r="J15" s="46">
        <f t="shared" si="1"/>
        <v>90608.639999999999</v>
      </c>
      <c r="K15" s="47">
        <v>1.25</v>
      </c>
      <c r="L15" s="46">
        <f t="shared" si="2"/>
        <v>113260.8</v>
      </c>
      <c r="M15" s="48"/>
      <c r="N15" s="46">
        <v>17697</v>
      </c>
      <c r="O15" s="47"/>
      <c r="P15" s="47">
        <v>9</v>
      </c>
      <c r="Q15" s="47"/>
      <c r="R15" s="49" t="str">
        <f>IF(O15&gt;0,$L15/18*O15,"")</f>
        <v/>
      </c>
      <c r="S15" s="49">
        <f>IF(P15&gt;0,$L15/18*P15,"")</f>
        <v>56630.399999999994</v>
      </c>
      <c r="T15" s="49" t="str">
        <f>IF(Q15&gt;0,$L15/18*Q15,"")</f>
        <v/>
      </c>
      <c r="U15" s="47"/>
      <c r="V15" s="46"/>
      <c r="W15" s="47">
        <v>5</v>
      </c>
      <c r="X15" s="46">
        <f>N15*0.5/18*W15</f>
        <v>2457.9166666666665</v>
      </c>
      <c r="Y15" s="47"/>
      <c r="Z15" s="46"/>
      <c r="AA15" s="49">
        <f t="shared" si="0"/>
        <v>59088.316666666658</v>
      </c>
      <c r="AB15" s="46"/>
      <c r="AC15" s="46"/>
      <c r="AD15" s="46"/>
      <c r="AE15" s="46"/>
      <c r="AF15" s="46"/>
      <c r="AG15" s="46"/>
      <c r="AH15" s="46"/>
      <c r="AI15" s="46">
        <f>N15*0.2*9/18</f>
        <v>1769.7</v>
      </c>
      <c r="AJ15" s="47"/>
      <c r="AK15" s="50"/>
      <c r="AL15" s="47">
        <v>9</v>
      </c>
      <c r="AM15" s="50">
        <f>L15*0.3*AL15/18</f>
        <v>16989.12</v>
      </c>
      <c r="AN15" s="47"/>
      <c r="AO15" s="50"/>
      <c r="AP15" s="47">
        <v>9</v>
      </c>
      <c r="AQ15" s="50"/>
      <c r="AR15" s="50"/>
      <c r="AS15" s="50">
        <f>L15*0.35*AP15/18</f>
        <v>19820.64</v>
      </c>
      <c r="AT15" s="50"/>
      <c r="AU15" s="50"/>
      <c r="AV15" s="50"/>
      <c r="AW15" s="50"/>
      <c r="AX15" s="50"/>
      <c r="AY15" s="50">
        <f>L15*0.1*SUM(O15:Q15)/18</f>
        <v>5663.0400000000009</v>
      </c>
      <c r="AZ15" s="50"/>
      <c r="BA15" s="71">
        <f t="array" ref="BA15">SUM(ROUND(AA15:AI15,0),ROUND(AK15:AK15,0),ROUND(AM15:AM15,0),ROUND(AO15:AO15,0),ROUND(AQ15:AZ15,0))</f>
        <v>103331</v>
      </c>
    </row>
    <row r="16" spans="1:80" s="20" customFormat="1" ht="12" thickBot="1" x14ac:dyDescent="0.25">
      <c r="A16" s="84">
        <v>3</v>
      </c>
      <c r="B16" s="82" t="s">
        <v>92</v>
      </c>
      <c r="C16" s="53" t="s">
        <v>93</v>
      </c>
      <c r="D16" s="54" t="s">
        <v>77</v>
      </c>
      <c r="E16" s="54" t="s">
        <v>78</v>
      </c>
      <c r="F16" s="53" t="s">
        <v>94</v>
      </c>
      <c r="G16" s="54" t="s">
        <v>80</v>
      </c>
      <c r="H16" s="55" t="s">
        <v>89</v>
      </c>
      <c r="I16" s="56">
        <v>5.91</v>
      </c>
      <c r="J16" s="57">
        <f t="shared" si="1"/>
        <v>104589.27</v>
      </c>
      <c r="K16" s="58">
        <v>1.25</v>
      </c>
      <c r="L16" s="57">
        <f t="shared" si="2"/>
        <v>130736.58750000001</v>
      </c>
      <c r="M16" s="59">
        <v>1</v>
      </c>
      <c r="N16" s="57">
        <v>17697</v>
      </c>
      <c r="O16" s="58"/>
      <c r="P16" s="58"/>
      <c r="Q16" s="58"/>
      <c r="R16" s="60"/>
      <c r="S16" s="60"/>
      <c r="T16" s="60"/>
      <c r="U16" s="58"/>
      <c r="V16" s="57"/>
      <c r="W16" s="58"/>
      <c r="X16" s="57"/>
      <c r="Y16" s="58"/>
      <c r="Z16" s="57"/>
      <c r="AA16" s="60">
        <f t="shared" si="0"/>
        <v>0</v>
      </c>
      <c r="AB16" s="57"/>
      <c r="AC16" s="57"/>
      <c r="AD16" s="57"/>
      <c r="AE16" s="57"/>
      <c r="AF16" s="57"/>
      <c r="AG16" s="57"/>
      <c r="AH16" s="57"/>
      <c r="AI16" s="57"/>
      <c r="AJ16" s="58"/>
      <c r="AK16" s="61"/>
      <c r="AL16" s="58"/>
      <c r="AM16" s="61"/>
      <c r="AN16" s="58"/>
      <c r="AO16" s="61"/>
      <c r="AP16" s="58"/>
      <c r="AQ16" s="61"/>
      <c r="AR16" s="61"/>
      <c r="AS16" s="61"/>
      <c r="AT16" s="61"/>
      <c r="AU16" s="61"/>
      <c r="AV16" s="61"/>
      <c r="AW16" s="61"/>
      <c r="AX16" s="61"/>
      <c r="AY16" s="61"/>
      <c r="AZ16" s="61">
        <f>L16*M16</f>
        <v>130736.58750000001</v>
      </c>
      <c r="BA16" s="71">
        <f t="array" ref="BA16">SUM(ROUND(AA16:AI16,0),ROUND(AK16:AK16,0),ROUND(AM16:AM16,0),ROUND(AO16:AO16,0),ROUND(AQ16:AZ16,0))</f>
        <v>130737</v>
      </c>
    </row>
    <row r="17" spans="1:53" s="20" customFormat="1" ht="12" thickBot="1" x14ac:dyDescent="0.25">
      <c r="A17" s="87"/>
      <c r="B17" s="86"/>
      <c r="C17" s="26" t="s">
        <v>95</v>
      </c>
      <c r="D17" s="27" t="s">
        <v>77</v>
      </c>
      <c r="E17" s="27" t="s">
        <v>78</v>
      </c>
      <c r="F17" s="26" t="s">
        <v>94</v>
      </c>
      <c r="G17" s="27" t="s">
        <v>84</v>
      </c>
      <c r="H17" s="28" t="s">
        <v>96</v>
      </c>
      <c r="I17" s="29">
        <v>4.7300000000000004</v>
      </c>
      <c r="J17" s="30">
        <f t="shared" si="1"/>
        <v>83706.810000000012</v>
      </c>
      <c r="K17" s="31">
        <v>1.25</v>
      </c>
      <c r="L17" s="30">
        <f t="shared" si="2"/>
        <v>104633.51250000001</v>
      </c>
      <c r="M17" s="32"/>
      <c r="N17" s="30">
        <v>17697</v>
      </c>
      <c r="O17" s="31">
        <v>5</v>
      </c>
      <c r="P17" s="31"/>
      <c r="Q17" s="31"/>
      <c r="R17" s="33">
        <f t="shared" ref="R17:T18" si="3">IF(O17&gt;0,$L17/18*O17,"")</f>
        <v>29064.864583333336</v>
      </c>
      <c r="S17" s="33" t="str">
        <f t="shared" si="3"/>
        <v/>
      </c>
      <c r="T17" s="33" t="str">
        <f t="shared" si="3"/>
        <v/>
      </c>
      <c r="U17" s="31"/>
      <c r="V17" s="30"/>
      <c r="W17" s="31"/>
      <c r="X17" s="30"/>
      <c r="Y17" s="31"/>
      <c r="Z17" s="30"/>
      <c r="AA17" s="33">
        <f t="shared" si="0"/>
        <v>29064.864583333336</v>
      </c>
      <c r="AB17" s="30"/>
      <c r="AC17" s="30"/>
      <c r="AD17" s="30"/>
      <c r="AE17" s="30"/>
      <c r="AF17" s="30"/>
      <c r="AG17" s="30"/>
      <c r="AH17" s="30"/>
      <c r="AI17" s="30">
        <f>N17*0.2*5/18</f>
        <v>983.16666666666663</v>
      </c>
      <c r="AJ17" s="31">
        <v>5</v>
      </c>
      <c r="AK17" s="34">
        <f>L17*0.3*AJ17/18</f>
        <v>8719.4593750000004</v>
      </c>
      <c r="AL17" s="31"/>
      <c r="AM17" s="34"/>
      <c r="AN17" s="31"/>
      <c r="AO17" s="34"/>
      <c r="AP17" s="31"/>
      <c r="AQ17" s="34"/>
      <c r="AR17" s="34"/>
      <c r="AS17" s="34"/>
      <c r="AT17" s="34"/>
      <c r="AU17" s="34"/>
      <c r="AV17" s="34"/>
      <c r="AW17" s="34"/>
      <c r="AX17" s="34"/>
      <c r="AY17" s="34">
        <f>L17*0.1*SUM(O17:Q17)/18</f>
        <v>2906.4864583333338</v>
      </c>
      <c r="AZ17" s="34"/>
      <c r="BA17" s="71">
        <f t="array" ref="BA17">SUM(ROUND(AA17:AI17,0),ROUND(AK17:AK17,0),ROUND(AM17:AM17,0),ROUND(AO17:AO17,0),ROUND(AQ17:AZ17,0))</f>
        <v>41673</v>
      </c>
    </row>
    <row r="18" spans="1:53" s="20" customFormat="1" ht="12" thickBot="1" x14ac:dyDescent="0.25">
      <c r="A18" s="87"/>
      <c r="B18" s="86"/>
      <c r="C18" s="42" t="s">
        <v>97</v>
      </c>
      <c r="D18" s="43" t="s">
        <v>77</v>
      </c>
      <c r="E18" s="43" t="s">
        <v>78</v>
      </c>
      <c r="F18" s="42" t="s">
        <v>94</v>
      </c>
      <c r="G18" s="43" t="s">
        <v>84</v>
      </c>
      <c r="H18" s="44" t="s">
        <v>96</v>
      </c>
      <c r="I18" s="45">
        <v>4.7300000000000004</v>
      </c>
      <c r="J18" s="46">
        <f t="shared" si="1"/>
        <v>83706.810000000012</v>
      </c>
      <c r="K18" s="47">
        <v>1.25</v>
      </c>
      <c r="L18" s="46">
        <f t="shared" si="2"/>
        <v>104633.51250000001</v>
      </c>
      <c r="M18" s="48"/>
      <c r="N18" s="46">
        <v>17697</v>
      </c>
      <c r="O18" s="47">
        <v>4</v>
      </c>
      <c r="P18" s="47"/>
      <c r="Q18" s="47"/>
      <c r="R18" s="49">
        <f t="shared" si="3"/>
        <v>23251.89166666667</v>
      </c>
      <c r="S18" s="49" t="str">
        <f t="shared" si="3"/>
        <v/>
      </c>
      <c r="T18" s="49" t="str">
        <f t="shared" si="3"/>
        <v/>
      </c>
      <c r="U18" s="47"/>
      <c r="V18" s="46"/>
      <c r="W18" s="47"/>
      <c r="X18" s="46"/>
      <c r="Y18" s="47"/>
      <c r="Z18" s="46"/>
      <c r="AA18" s="49">
        <f t="shared" si="0"/>
        <v>23251.89166666667</v>
      </c>
      <c r="AB18" s="46"/>
      <c r="AC18" s="46"/>
      <c r="AD18" s="46"/>
      <c r="AE18" s="46"/>
      <c r="AF18" s="46"/>
      <c r="AG18" s="46"/>
      <c r="AH18" s="46"/>
      <c r="AI18" s="46">
        <f>N18*0.2*4/18</f>
        <v>786.5333333333333</v>
      </c>
      <c r="AJ18" s="47">
        <v>4</v>
      </c>
      <c r="AK18" s="50">
        <f>L18*0.3*AJ18/18</f>
        <v>6975.567500000001</v>
      </c>
      <c r="AL18" s="47"/>
      <c r="AM18" s="50"/>
      <c r="AN18" s="47"/>
      <c r="AO18" s="50"/>
      <c r="AP18" s="47"/>
      <c r="AQ18" s="50"/>
      <c r="AR18" s="50"/>
      <c r="AS18" s="50"/>
      <c r="AT18" s="50"/>
      <c r="AU18" s="50"/>
      <c r="AV18" s="50"/>
      <c r="AW18" s="50"/>
      <c r="AX18" s="50"/>
      <c r="AY18" s="50">
        <f>L18*0.1*SUM(O18:Q18)/18</f>
        <v>2325.189166666667</v>
      </c>
      <c r="AZ18" s="50"/>
      <c r="BA18" s="71">
        <f t="array" ref="BA18">SUM(ROUND(AA18:AI18,0),ROUND(AK18:AK18,0),ROUND(AM18:AM18,0),ROUND(AO18:AO18,0),ROUND(AQ18:AZ18,0))</f>
        <v>33340</v>
      </c>
    </row>
    <row r="19" spans="1:53" s="20" customFormat="1" ht="12" thickBot="1" x14ac:dyDescent="0.25">
      <c r="A19" s="84">
        <v>4</v>
      </c>
      <c r="B19" s="82" t="s">
        <v>98</v>
      </c>
      <c r="C19" s="53" t="s">
        <v>99</v>
      </c>
      <c r="D19" s="54" t="s">
        <v>77</v>
      </c>
      <c r="E19" s="54" t="s">
        <v>78</v>
      </c>
      <c r="F19" s="53" t="s">
        <v>94</v>
      </c>
      <c r="G19" s="54" t="s">
        <v>80</v>
      </c>
      <c r="H19" s="55" t="s">
        <v>89</v>
      </c>
      <c r="I19" s="56">
        <v>5.91</v>
      </c>
      <c r="J19" s="57">
        <f t="shared" si="1"/>
        <v>104589.27</v>
      </c>
      <c r="K19" s="58">
        <v>1.25</v>
      </c>
      <c r="L19" s="57">
        <f t="shared" si="2"/>
        <v>130736.58750000001</v>
      </c>
      <c r="M19" s="59">
        <v>1</v>
      </c>
      <c r="N19" s="57">
        <v>17697</v>
      </c>
      <c r="O19" s="58"/>
      <c r="P19" s="58"/>
      <c r="Q19" s="58"/>
      <c r="R19" s="60"/>
      <c r="S19" s="60"/>
      <c r="T19" s="60"/>
      <c r="U19" s="58"/>
      <c r="V19" s="57"/>
      <c r="W19" s="58"/>
      <c r="X19" s="57"/>
      <c r="Y19" s="58"/>
      <c r="Z19" s="57"/>
      <c r="AA19" s="60">
        <f t="shared" si="0"/>
        <v>0</v>
      </c>
      <c r="AB19" s="57"/>
      <c r="AC19" s="57"/>
      <c r="AD19" s="57"/>
      <c r="AE19" s="57"/>
      <c r="AF19" s="57"/>
      <c r="AG19" s="57"/>
      <c r="AH19" s="57"/>
      <c r="AI19" s="57"/>
      <c r="AJ19" s="58"/>
      <c r="AK19" s="61"/>
      <c r="AL19" s="58"/>
      <c r="AM19" s="61"/>
      <c r="AN19" s="58"/>
      <c r="AO19" s="61"/>
      <c r="AP19" s="58"/>
      <c r="AQ19" s="61"/>
      <c r="AR19" s="61"/>
      <c r="AS19" s="61"/>
      <c r="AT19" s="61"/>
      <c r="AU19" s="61"/>
      <c r="AV19" s="61"/>
      <c r="AW19" s="61"/>
      <c r="AX19" s="61"/>
      <c r="AY19" s="61"/>
      <c r="AZ19" s="61">
        <f>L19*M19</f>
        <v>130736.58750000001</v>
      </c>
      <c r="BA19" s="71">
        <f t="array" ref="BA19">SUM(ROUND(AA19:AI19,0),ROUND(AK19:AK19,0),ROUND(AM19:AM19,0),ROUND(AO19:AO19,0),ROUND(AQ19:AZ19,0))</f>
        <v>130737</v>
      </c>
    </row>
    <row r="20" spans="1:53" s="20" customFormat="1" ht="12" thickBot="1" x14ac:dyDescent="0.25">
      <c r="A20" s="87"/>
      <c r="B20" s="86"/>
      <c r="C20" s="42" t="s">
        <v>100</v>
      </c>
      <c r="D20" s="43" t="s">
        <v>77</v>
      </c>
      <c r="E20" s="43" t="s">
        <v>83</v>
      </c>
      <c r="F20" s="42" t="s">
        <v>94</v>
      </c>
      <c r="G20" s="43" t="s">
        <v>84</v>
      </c>
      <c r="H20" s="44" t="s">
        <v>85</v>
      </c>
      <c r="I20" s="45">
        <v>5.41</v>
      </c>
      <c r="J20" s="46">
        <f t="shared" si="1"/>
        <v>95740.77</v>
      </c>
      <c r="K20" s="47">
        <v>1.25</v>
      </c>
      <c r="L20" s="46">
        <f t="shared" si="2"/>
        <v>119675.96250000001</v>
      </c>
      <c r="M20" s="48"/>
      <c r="N20" s="46">
        <v>17697</v>
      </c>
      <c r="O20" s="47"/>
      <c r="P20" s="47">
        <v>9</v>
      </c>
      <c r="Q20" s="47"/>
      <c r="R20" s="49" t="str">
        <f>IF(O20&gt;0,$L20/18*O20,"")</f>
        <v/>
      </c>
      <c r="S20" s="49">
        <f>IF(P20&gt;0,$L20/18*P20,"")</f>
        <v>59837.981250000004</v>
      </c>
      <c r="T20" s="49" t="str">
        <f>IF(Q20&gt;0,$L20/18*Q20,"")</f>
        <v/>
      </c>
      <c r="U20" s="47"/>
      <c r="V20" s="46"/>
      <c r="W20" s="47">
        <v>5</v>
      </c>
      <c r="X20" s="46">
        <f>N20*0.4/18*W20</f>
        <v>1966.3333333333333</v>
      </c>
      <c r="Y20" s="47"/>
      <c r="Z20" s="46"/>
      <c r="AA20" s="49">
        <f t="shared" si="0"/>
        <v>61804.31458333334</v>
      </c>
      <c r="AB20" s="46"/>
      <c r="AC20" s="46"/>
      <c r="AD20" s="46"/>
      <c r="AE20" s="46"/>
      <c r="AF20" s="46"/>
      <c r="AG20" s="46"/>
      <c r="AH20" s="46"/>
      <c r="AI20" s="46">
        <f>N20*0.2*9/18</f>
        <v>1769.7</v>
      </c>
      <c r="AJ20" s="47"/>
      <c r="AK20" s="50"/>
      <c r="AL20" s="47">
        <v>9</v>
      </c>
      <c r="AM20" s="50">
        <f>L20*0.3*AL20/18</f>
        <v>17951.394375</v>
      </c>
      <c r="AN20" s="47"/>
      <c r="AO20" s="50"/>
      <c r="AP20" s="47">
        <v>9</v>
      </c>
      <c r="AQ20" s="50"/>
      <c r="AR20" s="50">
        <f>L20*0.4*AP20/18</f>
        <v>23935.192500000005</v>
      </c>
      <c r="AS20" s="50"/>
      <c r="AT20" s="50"/>
      <c r="AU20" s="50"/>
      <c r="AV20" s="50"/>
      <c r="AW20" s="50"/>
      <c r="AX20" s="50"/>
      <c r="AY20" s="50">
        <f>L20*0.1*SUM(O20:Q20)/18</f>
        <v>5983.7981250000012</v>
      </c>
      <c r="AZ20" s="50"/>
      <c r="BA20" s="71">
        <f t="array" ref="BA20">SUM(ROUND(AA20:AI20,0),ROUND(AK20:AK20,0),ROUND(AM20:AM20,0),ROUND(AO20:AO20,0),ROUND(AQ20:AZ20,0))</f>
        <v>111444</v>
      </c>
    </row>
    <row r="21" spans="1:53" s="20" customFormat="1" ht="12" thickBot="1" x14ac:dyDescent="0.25">
      <c r="A21" s="84">
        <v>5</v>
      </c>
      <c r="B21" s="82" t="s">
        <v>101</v>
      </c>
      <c r="C21" s="53" t="s">
        <v>102</v>
      </c>
      <c r="D21" s="54" t="s">
        <v>77</v>
      </c>
      <c r="E21" s="54" t="s">
        <v>78</v>
      </c>
      <c r="F21" s="53" t="s">
        <v>103</v>
      </c>
      <c r="G21" s="54" t="s">
        <v>80</v>
      </c>
      <c r="H21" s="55" t="s">
        <v>89</v>
      </c>
      <c r="I21" s="56">
        <v>5.59</v>
      </c>
      <c r="J21" s="57">
        <f t="shared" si="1"/>
        <v>98926.23</v>
      </c>
      <c r="K21" s="58">
        <v>1.25</v>
      </c>
      <c r="L21" s="57">
        <f t="shared" si="2"/>
        <v>123657.78749999999</v>
      </c>
      <c r="M21" s="59">
        <v>0.5</v>
      </c>
      <c r="N21" s="57">
        <v>17697</v>
      </c>
      <c r="O21" s="58"/>
      <c r="P21" s="58"/>
      <c r="Q21" s="58"/>
      <c r="R21" s="60"/>
      <c r="S21" s="60"/>
      <c r="T21" s="60"/>
      <c r="U21" s="58"/>
      <c r="V21" s="57"/>
      <c r="W21" s="58"/>
      <c r="X21" s="57"/>
      <c r="Y21" s="58"/>
      <c r="Z21" s="57"/>
      <c r="AA21" s="60">
        <f t="shared" si="0"/>
        <v>0</v>
      </c>
      <c r="AB21" s="57"/>
      <c r="AC21" s="57"/>
      <c r="AD21" s="57"/>
      <c r="AE21" s="57"/>
      <c r="AF21" s="57"/>
      <c r="AG21" s="57"/>
      <c r="AH21" s="57"/>
      <c r="AI21" s="57"/>
      <c r="AJ21" s="58"/>
      <c r="AK21" s="61"/>
      <c r="AL21" s="58"/>
      <c r="AM21" s="61"/>
      <c r="AN21" s="58"/>
      <c r="AO21" s="61"/>
      <c r="AP21" s="58"/>
      <c r="AQ21" s="61"/>
      <c r="AR21" s="61"/>
      <c r="AS21" s="61"/>
      <c r="AT21" s="61"/>
      <c r="AU21" s="61"/>
      <c r="AV21" s="61"/>
      <c r="AW21" s="61"/>
      <c r="AX21" s="61"/>
      <c r="AY21" s="61"/>
      <c r="AZ21" s="61">
        <f>L21*M21</f>
        <v>61828.893749999996</v>
      </c>
      <c r="BA21" s="71">
        <f t="array" ref="BA21">SUM(ROUND(AA21:AI21,0),ROUND(AK21:AK21,0),ROUND(AM21:AM21,0),ROUND(AO21:AO21,0),ROUND(AQ21:AZ21,0))</f>
        <v>61829</v>
      </c>
    </row>
    <row r="22" spans="1:53" s="20" customFormat="1" ht="12" thickBot="1" x14ac:dyDescent="0.25">
      <c r="A22" s="87"/>
      <c r="B22" s="86"/>
      <c r="C22" s="42" t="s">
        <v>104</v>
      </c>
      <c r="D22" s="43" t="s">
        <v>77</v>
      </c>
      <c r="E22" s="43" t="s">
        <v>83</v>
      </c>
      <c r="F22" s="42" t="s">
        <v>103</v>
      </c>
      <c r="G22" s="43" t="s">
        <v>84</v>
      </c>
      <c r="H22" s="44" t="s">
        <v>85</v>
      </c>
      <c r="I22" s="45">
        <v>5.24</v>
      </c>
      <c r="J22" s="46">
        <f t="shared" si="1"/>
        <v>92732.28</v>
      </c>
      <c r="K22" s="47">
        <v>1.25</v>
      </c>
      <c r="L22" s="46">
        <f t="shared" si="2"/>
        <v>115915.35</v>
      </c>
      <c r="M22" s="48"/>
      <c r="N22" s="46">
        <v>17697</v>
      </c>
      <c r="O22" s="47">
        <v>2</v>
      </c>
      <c r="P22" s="47">
        <v>16</v>
      </c>
      <c r="Q22" s="47"/>
      <c r="R22" s="49">
        <f>IF(O22&gt;0,$L22/18*O22,"")</f>
        <v>12879.483333333334</v>
      </c>
      <c r="S22" s="49">
        <f>IF(P22&gt;0,$L22/18*P22,"")</f>
        <v>103035.86666666667</v>
      </c>
      <c r="T22" s="49" t="str">
        <f>IF(Q22&gt;0,$L22/18*Q22,"")</f>
        <v/>
      </c>
      <c r="U22" s="47"/>
      <c r="V22" s="46"/>
      <c r="W22" s="47">
        <v>10</v>
      </c>
      <c r="X22" s="46">
        <f>N22*0.5/18*W22</f>
        <v>4915.833333333333</v>
      </c>
      <c r="Y22" s="47"/>
      <c r="Z22" s="46"/>
      <c r="AA22" s="49">
        <f t="shared" si="0"/>
        <v>120831.18333333333</v>
      </c>
      <c r="AB22" s="46"/>
      <c r="AC22" s="46"/>
      <c r="AD22" s="46"/>
      <c r="AE22" s="46"/>
      <c r="AF22" s="46"/>
      <c r="AG22" s="46"/>
      <c r="AH22" s="46"/>
      <c r="AI22" s="46">
        <f>N22*0.2*18/18</f>
        <v>3539.4</v>
      </c>
      <c r="AJ22" s="47">
        <v>2</v>
      </c>
      <c r="AK22" s="50">
        <f>L22*0.3*AJ22/18</f>
        <v>3863.8450000000003</v>
      </c>
      <c r="AL22" s="47">
        <v>16</v>
      </c>
      <c r="AM22" s="50">
        <f>L22*0.3*AL22/18</f>
        <v>30910.760000000002</v>
      </c>
      <c r="AN22" s="47"/>
      <c r="AO22" s="50"/>
      <c r="AP22" s="47">
        <v>18</v>
      </c>
      <c r="AQ22" s="50"/>
      <c r="AR22" s="50">
        <f>L22*0.4*AP22/18</f>
        <v>46366.140000000007</v>
      </c>
      <c r="AS22" s="50"/>
      <c r="AT22" s="50"/>
      <c r="AU22" s="50"/>
      <c r="AV22" s="50"/>
      <c r="AW22" s="50"/>
      <c r="AX22" s="50"/>
      <c r="AY22" s="50">
        <f>L22*0.1*SUM(O22:Q22)/18</f>
        <v>11591.535000000002</v>
      </c>
      <c r="AZ22" s="50"/>
      <c r="BA22" s="71">
        <f t="array" ref="BA22">SUM(ROUND(AA22:AI22,0),ROUND(AK22:AK22,0),ROUND(AM22:AM22,0),ROUND(AO22:AO22,0),ROUND(AQ22:AZ22,0))</f>
        <v>217103</v>
      </c>
    </row>
    <row r="23" spans="1:53" s="20" customFormat="1" ht="12" thickBot="1" x14ac:dyDescent="0.25">
      <c r="A23" s="84">
        <v>6</v>
      </c>
      <c r="B23" s="82" t="s">
        <v>105</v>
      </c>
      <c r="C23" s="53" t="s">
        <v>102</v>
      </c>
      <c r="D23" s="54" t="s">
        <v>77</v>
      </c>
      <c r="E23" s="54" t="s">
        <v>83</v>
      </c>
      <c r="F23" s="53" t="s">
        <v>106</v>
      </c>
      <c r="G23" s="54" t="s">
        <v>80</v>
      </c>
      <c r="H23" s="55" t="s">
        <v>89</v>
      </c>
      <c r="I23" s="56">
        <v>5.91</v>
      </c>
      <c r="J23" s="57">
        <f t="shared" si="1"/>
        <v>104589.27</v>
      </c>
      <c r="K23" s="58">
        <v>1.25</v>
      </c>
      <c r="L23" s="57">
        <f t="shared" si="2"/>
        <v>130736.58750000001</v>
      </c>
      <c r="M23" s="59">
        <v>0.5</v>
      </c>
      <c r="N23" s="57">
        <v>17697</v>
      </c>
      <c r="O23" s="58"/>
      <c r="P23" s="58"/>
      <c r="Q23" s="58"/>
      <c r="R23" s="60"/>
      <c r="S23" s="60"/>
      <c r="T23" s="60"/>
      <c r="U23" s="58"/>
      <c r="V23" s="57"/>
      <c r="W23" s="58"/>
      <c r="X23" s="57"/>
      <c r="Y23" s="58"/>
      <c r="Z23" s="57"/>
      <c r="AA23" s="60">
        <f t="shared" si="0"/>
        <v>0</v>
      </c>
      <c r="AB23" s="57"/>
      <c r="AC23" s="57"/>
      <c r="AD23" s="57"/>
      <c r="AE23" s="57"/>
      <c r="AF23" s="57"/>
      <c r="AG23" s="57"/>
      <c r="AH23" s="57"/>
      <c r="AI23" s="57"/>
      <c r="AJ23" s="58"/>
      <c r="AK23" s="61"/>
      <c r="AL23" s="58"/>
      <c r="AM23" s="61"/>
      <c r="AN23" s="58"/>
      <c r="AO23" s="61"/>
      <c r="AP23" s="58"/>
      <c r="AQ23" s="61"/>
      <c r="AR23" s="61"/>
      <c r="AS23" s="61"/>
      <c r="AT23" s="61"/>
      <c r="AU23" s="61"/>
      <c r="AV23" s="61"/>
      <c r="AW23" s="61"/>
      <c r="AX23" s="61"/>
      <c r="AY23" s="61"/>
      <c r="AZ23" s="61">
        <f>L23*M23</f>
        <v>65368.293750000004</v>
      </c>
      <c r="BA23" s="71">
        <f t="array" ref="BA23">SUM(ROUND(AA23:AI23,0),ROUND(AK23:AK23,0),ROUND(AM23:AM23,0),ROUND(AO23:AO23,0),ROUND(AQ23:AZ23,0))</f>
        <v>65368</v>
      </c>
    </row>
    <row r="24" spans="1:53" s="20" customFormat="1" ht="12" thickBot="1" x14ac:dyDescent="0.25">
      <c r="A24" s="87"/>
      <c r="B24" s="86"/>
      <c r="C24" s="42" t="s">
        <v>107</v>
      </c>
      <c r="D24" s="43" t="s">
        <v>77</v>
      </c>
      <c r="E24" s="43" t="s">
        <v>83</v>
      </c>
      <c r="F24" s="42" t="s">
        <v>106</v>
      </c>
      <c r="G24" s="43" t="s">
        <v>84</v>
      </c>
      <c r="H24" s="44" t="s">
        <v>85</v>
      </c>
      <c r="I24" s="45">
        <v>5.41</v>
      </c>
      <c r="J24" s="46">
        <f t="shared" si="1"/>
        <v>95740.77</v>
      </c>
      <c r="K24" s="47">
        <v>1.25</v>
      </c>
      <c r="L24" s="46">
        <f t="shared" si="2"/>
        <v>119675.96250000001</v>
      </c>
      <c r="M24" s="48"/>
      <c r="N24" s="46">
        <v>17697</v>
      </c>
      <c r="O24" s="47"/>
      <c r="P24" s="47">
        <v>15</v>
      </c>
      <c r="Q24" s="47">
        <v>3</v>
      </c>
      <c r="R24" s="49" t="str">
        <f>IF(O24&gt;0,$L24/18*O24,"")</f>
        <v/>
      </c>
      <c r="S24" s="49">
        <f>IF(P24&gt;0,$L24/18*P24,"")</f>
        <v>99729.968750000015</v>
      </c>
      <c r="T24" s="49">
        <f>IF(Q24&gt;0,$L24/18*Q24,"")</f>
        <v>19945.993750000001</v>
      </c>
      <c r="U24" s="47"/>
      <c r="V24" s="46"/>
      <c r="W24" s="47"/>
      <c r="X24" s="46"/>
      <c r="Y24" s="47"/>
      <c r="Z24" s="46"/>
      <c r="AA24" s="49">
        <f t="shared" si="0"/>
        <v>119675.96250000002</v>
      </c>
      <c r="AB24" s="46"/>
      <c r="AC24" s="46"/>
      <c r="AD24" s="46"/>
      <c r="AE24" s="46"/>
      <c r="AF24" s="46"/>
      <c r="AG24" s="46">
        <f>N24*0.2</f>
        <v>3539.4</v>
      </c>
      <c r="AH24" s="46"/>
      <c r="AI24" s="46">
        <f>N24*0.2*18/18</f>
        <v>3539.4</v>
      </c>
      <c r="AJ24" s="47"/>
      <c r="AK24" s="50"/>
      <c r="AL24" s="47">
        <v>15</v>
      </c>
      <c r="AM24" s="50">
        <f>L24*0.3*AL24/18</f>
        <v>29918.990625000002</v>
      </c>
      <c r="AN24" s="47">
        <v>3</v>
      </c>
      <c r="AO24" s="50">
        <f>L24*0.3*AN24/18</f>
        <v>5983.7981249999993</v>
      </c>
      <c r="AP24" s="47">
        <v>18</v>
      </c>
      <c r="AQ24" s="50"/>
      <c r="AR24" s="50">
        <f>L24*0.4*AP24/18</f>
        <v>47870.385000000009</v>
      </c>
      <c r="AS24" s="50"/>
      <c r="AT24" s="50"/>
      <c r="AU24" s="50"/>
      <c r="AV24" s="50">
        <f>N24*1</f>
        <v>17697</v>
      </c>
      <c r="AW24" s="50"/>
      <c r="AX24" s="50"/>
      <c r="AY24" s="50">
        <f>L24*0.1*SUM(O24:Q24)/18</f>
        <v>11967.596250000002</v>
      </c>
      <c r="AZ24" s="50"/>
      <c r="BA24" s="71">
        <f t="array" ref="BA24">SUM(ROUND(AA24:AI24,0),ROUND(AK24:AK24,0),ROUND(AM24:AM24,0),ROUND(AO24:AO24,0),ROUND(AQ24:AZ24,0))</f>
        <v>240192</v>
      </c>
    </row>
    <row r="25" spans="1:53" s="20" customFormat="1" ht="12" thickBot="1" x14ac:dyDescent="0.25">
      <c r="A25" s="72">
        <v>7</v>
      </c>
      <c r="B25" s="73" t="s">
        <v>108</v>
      </c>
      <c r="C25" s="73" t="s">
        <v>109</v>
      </c>
      <c r="D25" s="74" t="s">
        <v>77</v>
      </c>
      <c r="E25" s="74" t="s">
        <v>78</v>
      </c>
      <c r="F25" s="73" t="s">
        <v>110</v>
      </c>
      <c r="G25" s="74" t="s">
        <v>111</v>
      </c>
      <c r="H25" s="75" t="s">
        <v>96</v>
      </c>
      <c r="I25" s="76">
        <v>4.1900000000000004</v>
      </c>
      <c r="J25" s="77">
        <f t="shared" si="1"/>
        <v>74150.430000000008</v>
      </c>
      <c r="K25" s="78">
        <v>1.25</v>
      </c>
      <c r="L25" s="77">
        <f t="shared" si="2"/>
        <v>92688.037500000006</v>
      </c>
      <c r="M25" s="79">
        <v>1</v>
      </c>
      <c r="N25" s="77">
        <v>17697</v>
      </c>
      <c r="O25" s="78"/>
      <c r="P25" s="78"/>
      <c r="Q25" s="78"/>
      <c r="R25" s="80"/>
      <c r="S25" s="80"/>
      <c r="T25" s="80"/>
      <c r="U25" s="78"/>
      <c r="V25" s="77"/>
      <c r="W25" s="78"/>
      <c r="X25" s="77"/>
      <c r="Y25" s="78"/>
      <c r="Z25" s="77"/>
      <c r="AA25" s="80">
        <f t="shared" si="0"/>
        <v>0</v>
      </c>
      <c r="AB25" s="77"/>
      <c r="AC25" s="77"/>
      <c r="AD25" s="77"/>
      <c r="AE25" s="77">
        <f>47226</f>
        <v>47226</v>
      </c>
      <c r="AF25" s="77"/>
      <c r="AG25" s="77"/>
      <c r="AH25" s="77"/>
      <c r="AI25" s="77"/>
      <c r="AJ25" s="78"/>
      <c r="AK25" s="81"/>
      <c r="AL25" s="78"/>
      <c r="AM25" s="81"/>
      <c r="AN25" s="78"/>
      <c r="AO25" s="81"/>
      <c r="AP25" s="78"/>
      <c r="AQ25" s="81"/>
      <c r="AR25" s="81"/>
      <c r="AS25" s="81"/>
      <c r="AT25" s="81"/>
      <c r="AU25" s="81"/>
      <c r="AV25" s="81"/>
      <c r="AW25" s="81"/>
      <c r="AX25" s="81"/>
      <c r="AY25" s="81"/>
      <c r="AZ25" s="81">
        <f>L25*M25</f>
        <v>92688.037500000006</v>
      </c>
      <c r="BA25" s="71">
        <f t="array" ref="BA25">SUM(ROUND(AA25:AI25,0),ROUND(AK25:AK25,0),ROUND(AM25:AM25,0),ROUND(AO25:AO25,0),ROUND(AQ25:AZ25,0))</f>
        <v>139914</v>
      </c>
    </row>
    <row r="26" spans="1:53" s="20" customFormat="1" ht="12" thickBot="1" x14ac:dyDescent="0.25">
      <c r="A26" s="72">
        <v>8</v>
      </c>
      <c r="B26" s="73" t="s">
        <v>112</v>
      </c>
      <c r="C26" s="73" t="s">
        <v>107</v>
      </c>
      <c r="D26" s="74" t="s">
        <v>77</v>
      </c>
      <c r="E26" s="74" t="s">
        <v>83</v>
      </c>
      <c r="F26" s="73" t="s">
        <v>113</v>
      </c>
      <c r="G26" s="74" t="s">
        <v>84</v>
      </c>
      <c r="H26" s="75" t="s">
        <v>85</v>
      </c>
      <c r="I26" s="76">
        <v>5.41</v>
      </c>
      <c r="J26" s="77">
        <f t="shared" si="1"/>
        <v>95740.77</v>
      </c>
      <c r="K26" s="78">
        <v>1.25</v>
      </c>
      <c r="L26" s="77">
        <f t="shared" si="2"/>
        <v>119675.96250000001</v>
      </c>
      <c r="M26" s="79"/>
      <c r="N26" s="77">
        <v>17697</v>
      </c>
      <c r="O26" s="78">
        <v>14.5</v>
      </c>
      <c r="P26" s="78">
        <v>17</v>
      </c>
      <c r="Q26" s="78">
        <v>3</v>
      </c>
      <c r="R26" s="80">
        <f t="shared" ref="R26:R57" si="4">IF(O26&gt;0,$L26/18*O26,"")</f>
        <v>96405.636458333349</v>
      </c>
      <c r="S26" s="80">
        <f t="shared" ref="S26:S57" si="5">IF(P26&gt;0,$L26/18*P26,"")</f>
        <v>113027.29791666668</v>
      </c>
      <c r="T26" s="80">
        <f t="shared" ref="T26:T57" si="6">IF(Q26&gt;0,$L26/18*Q26,"")</f>
        <v>19945.993750000001</v>
      </c>
      <c r="U26" s="78"/>
      <c r="V26" s="77"/>
      <c r="W26" s="78"/>
      <c r="X26" s="77"/>
      <c r="Y26" s="78"/>
      <c r="Z26" s="77"/>
      <c r="AA26" s="80">
        <f t="shared" si="0"/>
        <v>229378.92812500001</v>
      </c>
      <c r="AB26" s="77"/>
      <c r="AC26" s="77"/>
      <c r="AD26" s="77"/>
      <c r="AE26" s="77"/>
      <c r="AF26" s="77"/>
      <c r="AG26" s="77">
        <f>N26*0.2</f>
        <v>3539.4</v>
      </c>
      <c r="AH26" s="77"/>
      <c r="AI26" s="77">
        <f>N26*0.2*30.5/18</f>
        <v>5997.3166666666666</v>
      </c>
      <c r="AJ26" s="78">
        <v>14.5</v>
      </c>
      <c r="AK26" s="81">
        <f t="shared" ref="AK26:AK58" si="7">L26*0.3*AJ26/18</f>
        <v>28921.6909375</v>
      </c>
      <c r="AL26" s="78">
        <v>17</v>
      </c>
      <c r="AM26" s="81">
        <f>L26*0.3*AL26/18</f>
        <v>33908.189374999994</v>
      </c>
      <c r="AN26" s="78">
        <v>3</v>
      </c>
      <c r="AO26" s="81">
        <f>L26*0.3*AN26/18</f>
        <v>5983.7981249999993</v>
      </c>
      <c r="AP26" s="78">
        <v>34.5</v>
      </c>
      <c r="AQ26" s="81"/>
      <c r="AR26" s="81">
        <f>L26*0.4*AP26/18</f>
        <v>91751.571250000008</v>
      </c>
      <c r="AS26" s="81"/>
      <c r="AT26" s="81"/>
      <c r="AU26" s="81">
        <f>N26*2</f>
        <v>35394</v>
      </c>
      <c r="AV26" s="81"/>
      <c r="AW26" s="81"/>
      <c r="AX26" s="81"/>
      <c r="AY26" s="81">
        <f t="shared" ref="AY26:AY57" si="8">L26*0.1*SUM(O26:Q26)/18</f>
        <v>22937.892812500002</v>
      </c>
      <c r="AZ26" s="81"/>
      <c r="BA26" s="71">
        <f t="array" ref="BA26">SUM(ROUND(AA26:AI26,0),ROUND(AK26:AK26,0),ROUND(AM26:AM26,0),ROUND(AO26:AO26,0),ROUND(AQ26:AZ26,0))</f>
        <v>457813</v>
      </c>
    </row>
    <row r="27" spans="1:53" s="20" customFormat="1" ht="12" thickBot="1" x14ac:dyDescent="0.25">
      <c r="A27" s="84">
        <v>9</v>
      </c>
      <c r="B27" s="82" t="s">
        <v>114</v>
      </c>
      <c r="C27" s="53" t="s">
        <v>95</v>
      </c>
      <c r="D27" s="54" t="s">
        <v>77</v>
      </c>
      <c r="E27" s="54" t="s">
        <v>83</v>
      </c>
      <c r="F27" s="53" t="s">
        <v>79</v>
      </c>
      <c r="G27" s="54" t="s">
        <v>84</v>
      </c>
      <c r="H27" s="55" t="s">
        <v>85</v>
      </c>
      <c r="I27" s="56">
        <v>5.41</v>
      </c>
      <c r="J27" s="57">
        <f t="shared" si="1"/>
        <v>95740.77</v>
      </c>
      <c r="K27" s="58">
        <v>1.25</v>
      </c>
      <c r="L27" s="57">
        <f t="shared" si="2"/>
        <v>119675.96250000001</v>
      </c>
      <c r="M27" s="59"/>
      <c r="N27" s="57">
        <v>17697</v>
      </c>
      <c r="O27" s="58">
        <v>15</v>
      </c>
      <c r="P27" s="58"/>
      <c r="Q27" s="58"/>
      <c r="R27" s="60">
        <f t="shared" si="4"/>
        <v>99729.968750000015</v>
      </c>
      <c r="S27" s="60" t="str">
        <f t="shared" si="5"/>
        <v/>
      </c>
      <c r="T27" s="60" t="str">
        <f t="shared" si="6"/>
        <v/>
      </c>
      <c r="U27" s="58"/>
      <c r="V27" s="57">
        <f>N27*0.4</f>
        <v>7078.8</v>
      </c>
      <c r="W27" s="58"/>
      <c r="X27" s="57"/>
      <c r="Y27" s="58"/>
      <c r="Z27" s="57"/>
      <c r="AA27" s="60">
        <f t="shared" si="0"/>
        <v>106808.76875000002</v>
      </c>
      <c r="AB27" s="57"/>
      <c r="AC27" s="57"/>
      <c r="AD27" s="57"/>
      <c r="AE27" s="57"/>
      <c r="AF27" s="57">
        <f>N27*0.5</f>
        <v>8848.5</v>
      </c>
      <c r="AG27" s="57"/>
      <c r="AH27" s="57"/>
      <c r="AI27" s="57">
        <f>N27*0.2*15/18</f>
        <v>2949.5</v>
      </c>
      <c r="AJ27" s="58">
        <v>15</v>
      </c>
      <c r="AK27" s="61">
        <f t="shared" si="7"/>
        <v>29918.990625000002</v>
      </c>
      <c r="AL27" s="58"/>
      <c r="AM27" s="61"/>
      <c r="AN27" s="58"/>
      <c r="AO27" s="61"/>
      <c r="AP27" s="58">
        <v>15</v>
      </c>
      <c r="AQ27" s="61"/>
      <c r="AR27" s="61">
        <f>L27*0.4*AP27/18</f>
        <v>39891.98750000001</v>
      </c>
      <c r="AS27" s="61"/>
      <c r="AT27" s="61"/>
      <c r="AU27" s="61"/>
      <c r="AV27" s="61"/>
      <c r="AW27" s="61"/>
      <c r="AX27" s="61"/>
      <c r="AY27" s="61">
        <f t="shared" si="8"/>
        <v>9972.9968750000025</v>
      </c>
      <c r="AZ27" s="61"/>
      <c r="BA27" s="71">
        <f t="array" ref="BA27">SUM(ROUND(AA27:AI27,0),ROUND(AK27:AK27,0),ROUND(AM27:AM27,0),ROUND(AO27:AO27,0),ROUND(AQ27:AZ27,0))</f>
        <v>198392</v>
      </c>
    </row>
    <row r="28" spans="1:53" s="20" customFormat="1" ht="12" thickBot="1" x14ac:dyDescent="0.25">
      <c r="A28" s="87"/>
      <c r="B28" s="86"/>
      <c r="C28" s="26" t="s">
        <v>95</v>
      </c>
      <c r="D28" s="27" t="s">
        <v>77</v>
      </c>
      <c r="E28" s="27" t="s">
        <v>83</v>
      </c>
      <c r="F28" s="26" t="s">
        <v>79</v>
      </c>
      <c r="G28" s="27" t="s">
        <v>84</v>
      </c>
      <c r="H28" s="28" t="s">
        <v>85</v>
      </c>
      <c r="I28" s="29">
        <v>5.41</v>
      </c>
      <c r="J28" s="30">
        <f t="shared" si="1"/>
        <v>95740.77</v>
      </c>
      <c r="K28" s="31">
        <v>1.25</v>
      </c>
      <c r="L28" s="30">
        <f t="shared" si="2"/>
        <v>119675.96250000001</v>
      </c>
      <c r="M28" s="32"/>
      <c r="N28" s="30">
        <v>17697</v>
      </c>
      <c r="O28" s="31">
        <v>14</v>
      </c>
      <c r="P28" s="31"/>
      <c r="Q28" s="31"/>
      <c r="R28" s="33">
        <f t="shared" si="4"/>
        <v>93081.304166666683</v>
      </c>
      <c r="S28" s="33" t="str">
        <f t="shared" si="5"/>
        <v/>
      </c>
      <c r="T28" s="33" t="str">
        <f t="shared" si="6"/>
        <v/>
      </c>
      <c r="U28" s="31"/>
      <c r="V28" s="30">
        <f>N28*0.4</f>
        <v>7078.8</v>
      </c>
      <c r="W28" s="31"/>
      <c r="X28" s="30"/>
      <c r="Y28" s="31"/>
      <c r="Z28" s="30"/>
      <c r="AA28" s="33">
        <f t="shared" si="0"/>
        <v>100160.10416666669</v>
      </c>
      <c r="AB28" s="30"/>
      <c r="AC28" s="30"/>
      <c r="AD28" s="30"/>
      <c r="AE28" s="30"/>
      <c r="AF28" s="30"/>
      <c r="AG28" s="30"/>
      <c r="AH28" s="30"/>
      <c r="AI28" s="30">
        <f>N28*0.2*(O28+P28+Q28)/18</f>
        <v>2752.8666666666668</v>
      </c>
      <c r="AJ28" s="31">
        <v>14</v>
      </c>
      <c r="AK28" s="34">
        <f t="shared" si="7"/>
        <v>27924.391250000001</v>
      </c>
      <c r="AL28" s="31"/>
      <c r="AM28" s="34"/>
      <c r="AN28" s="31"/>
      <c r="AO28" s="34"/>
      <c r="AP28" s="31">
        <f>IF(COUNT(O28:Q28)&gt;0,SUM(O28:Q28),"")</f>
        <v>14</v>
      </c>
      <c r="AQ28" s="34"/>
      <c r="AR28" s="34">
        <v>37232.522299999997</v>
      </c>
      <c r="AS28" s="34"/>
      <c r="AT28" s="34"/>
      <c r="AU28" s="34"/>
      <c r="AV28" s="34"/>
      <c r="AW28" s="34"/>
      <c r="AX28" s="34"/>
      <c r="AY28" s="34">
        <f t="shared" si="8"/>
        <v>9308.1304166666687</v>
      </c>
      <c r="AZ28" s="34"/>
      <c r="BA28" s="71">
        <f t="array" ref="BA28">SUM(ROUND(AA28:AI28,0),ROUND(AK28:AK28,0),ROUND(AM28:AM28,0),ROUND(AO28:AO28,0),ROUND(AQ28:AZ28,0))</f>
        <v>177378</v>
      </c>
    </row>
    <row r="29" spans="1:53" s="20" customFormat="1" ht="12" thickBot="1" x14ac:dyDescent="0.25">
      <c r="A29" s="87"/>
      <c r="B29" s="86"/>
      <c r="C29" s="42" t="s">
        <v>97</v>
      </c>
      <c r="D29" s="43" t="s">
        <v>77</v>
      </c>
      <c r="E29" s="43" t="s">
        <v>83</v>
      </c>
      <c r="F29" s="42" t="s">
        <v>79</v>
      </c>
      <c r="G29" s="43" t="s">
        <v>84</v>
      </c>
      <c r="H29" s="44" t="s">
        <v>85</v>
      </c>
      <c r="I29" s="45">
        <v>5.41</v>
      </c>
      <c r="J29" s="46">
        <f t="shared" si="1"/>
        <v>95740.77</v>
      </c>
      <c r="K29" s="47">
        <v>1.25</v>
      </c>
      <c r="L29" s="46">
        <f t="shared" si="2"/>
        <v>119675.96250000001</v>
      </c>
      <c r="M29" s="48"/>
      <c r="N29" s="46">
        <v>17697</v>
      </c>
      <c r="O29" s="47">
        <v>2</v>
      </c>
      <c r="P29" s="47"/>
      <c r="Q29" s="47"/>
      <c r="R29" s="49">
        <f t="shared" si="4"/>
        <v>13297.329166666668</v>
      </c>
      <c r="S29" s="49" t="str">
        <f t="shared" si="5"/>
        <v/>
      </c>
      <c r="T29" s="49" t="str">
        <f t="shared" si="6"/>
        <v/>
      </c>
      <c r="U29" s="47"/>
      <c r="V29" s="46"/>
      <c r="W29" s="47"/>
      <c r="X29" s="46"/>
      <c r="Y29" s="47"/>
      <c r="Z29" s="46"/>
      <c r="AA29" s="49">
        <f t="shared" si="0"/>
        <v>13297.329166666668</v>
      </c>
      <c r="AB29" s="46"/>
      <c r="AC29" s="46"/>
      <c r="AD29" s="46"/>
      <c r="AE29" s="46"/>
      <c r="AF29" s="46"/>
      <c r="AG29" s="46"/>
      <c r="AH29" s="46"/>
      <c r="AI29" s="46">
        <f>N29*0.2*2/18</f>
        <v>393.26666666666665</v>
      </c>
      <c r="AJ29" s="47">
        <v>2</v>
      </c>
      <c r="AK29" s="50">
        <f t="shared" si="7"/>
        <v>3989.19875</v>
      </c>
      <c r="AL29" s="47"/>
      <c r="AM29" s="50"/>
      <c r="AN29" s="47"/>
      <c r="AO29" s="50"/>
      <c r="AP29" s="47">
        <v>2</v>
      </c>
      <c r="AQ29" s="50"/>
      <c r="AR29" s="50">
        <f>L29*0.4*AP29/18</f>
        <v>5318.9316666666673</v>
      </c>
      <c r="AS29" s="50"/>
      <c r="AT29" s="50"/>
      <c r="AU29" s="50"/>
      <c r="AV29" s="50"/>
      <c r="AW29" s="50"/>
      <c r="AX29" s="50"/>
      <c r="AY29" s="50">
        <f t="shared" si="8"/>
        <v>1329.7329166666668</v>
      </c>
      <c r="AZ29" s="50"/>
      <c r="BA29" s="71">
        <f t="array" ref="BA29">SUM(ROUND(AA29:AI29,0),ROUND(AK29:AK29,0),ROUND(AM29:AM29,0),ROUND(AO29:AO29,0),ROUND(AQ29:AZ29,0))</f>
        <v>24328</v>
      </c>
    </row>
    <row r="30" spans="1:53" s="20" customFormat="1" ht="12" thickBot="1" x14ac:dyDescent="0.25">
      <c r="A30" s="84">
        <v>10</v>
      </c>
      <c r="B30" s="82" t="s">
        <v>115</v>
      </c>
      <c r="C30" s="53" t="s">
        <v>95</v>
      </c>
      <c r="D30" s="54" t="s">
        <v>77</v>
      </c>
      <c r="E30" s="54" t="s">
        <v>78</v>
      </c>
      <c r="F30" s="53" t="s">
        <v>116</v>
      </c>
      <c r="G30" s="54" t="s">
        <v>84</v>
      </c>
      <c r="H30" s="55" t="s">
        <v>96</v>
      </c>
      <c r="I30" s="56">
        <v>4.59</v>
      </c>
      <c r="J30" s="57">
        <f t="shared" si="1"/>
        <v>81229.23</v>
      </c>
      <c r="K30" s="58">
        <v>1.25</v>
      </c>
      <c r="L30" s="57">
        <f t="shared" si="2"/>
        <v>101536.53749999999</v>
      </c>
      <c r="M30" s="59"/>
      <c r="N30" s="57">
        <v>17697</v>
      </c>
      <c r="O30" s="58">
        <v>13</v>
      </c>
      <c r="P30" s="58"/>
      <c r="Q30" s="58"/>
      <c r="R30" s="60">
        <f t="shared" si="4"/>
        <v>73331.943749999991</v>
      </c>
      <c r="S30" s="60" t="str">
        <f t="shared" si="5"/>
        <v/>
      </c>
      <c r="T30" s="60" t="str">
        <f t="shared" si="6"/>
        <v/>
      </c>
      <c r="U30" s="58"/>
      <c r="V30" s="57">
        <f>N30*0.4</f>
        <v>7078.8</v>
      </c>
      <c r="W30" s="58"/>
      <c r="X30" s="57"/>
      <c r="Y30" s="58"/>
      <c r="Z30" s="57"/>
      <c r="AA30" s="60">
        <f t="shared" si="0"/>
        <v>80410.743749999994</v>
      </c>
      <c r="AB30" s="57"/>
      <c r="AC30" s="57"/>
      <c r="AD30" s="57"/>
      <c r="AE30" s="57"/>
      <c r="AF30" s="57">
        <f>N30*0.5</f>
        <v>8848.5</v>
      </c>
      <c r="AG30" s="57"/>
      <c r="AH30" s="57"/>
      <c r="AI30" s="57">
        <f>N30*0.2*13/18</f>
        <v>2556.2333333333336</v>
      </c>
      <c r="AJ30" s="58">
        <v>13</v>
      </c>
      <c r="AK30" s="61">
        <f t="shared" si="7"/>
        <v>21999.583124999997</v>
      </c>
      <c r="AL30" s="58"/>
      <c r="AM30" s="61"/>
      <c r="AN30" s="58"/>
      <c r="AO30" s="61"/>
      <c r="AP30" s="58"/>
      <c r="AQ30" s="61"/>
      <c r="AR30" s="61"/>
      <c r="AS30" s="61"/>
      <c r="AT30" s="61"/>
      <c r="AU30" s="61"/>
      <c r="AV30" s="61"/>
      <c r="AW30" s="61"/>
      <c r="AX30" s="61"/>
      <c r="AY30" s="61">
        <f t="shared" si="8"/>
        <v>7333.194375</v>
      </c>
      <c r="AZ30" s="61"/>
      <c r="BA30" s="71">
        <f t="array" ref="BA30">SUM(ROUND(AA30:AI30,0),ROUND(AK30:AK30,0),ROUND(AM30:AM30,0),ROUND(AO30:AO30,0),ROUND(AQ30:AZ30,0))</f>
        <v>121149</v>
      </c>
    </row>
    <row r="31" spans="1:53" s="20" customFormat="1" ht="12" thickBot="1" x14ac:dyDescent="0.25">
      <c r="A31" s="87"/>
      <c r="B31" s="86"/>
      <c r="C31" s="26" t="s">
        <v>95</v>
      </c>
      <c r="D31" s="27" t="s">
        <v>77</v>
      </c>
      <c r="E31" s="27" t="s">
        <v>78</v>
      </c>
      <c r="F31" s="26" t="s">
        <v>116</v>
      </c>
      <c r="G31" s="27" t="s">
        <v>84</v>
      </c>
      <c r="H31" s="28" t="s">
        <v>96</v>
      </c>
      <c r="I31" s="29">
        <v>4.59</v>
      </c>
      <c r="J31" s="30">
        <f t="shared" si="1"/>
        <v>81229.23</v>
      </c>
      <c r="K31" s="31">
        <v>1.25</v>
      </c>
      <c r="L31" s="30">
        <f t="shared" si="2"/>
        <v>101536.53749999999</v>
      </c>
      <c r="M31" s="32"/>
      <c r="N31" s="30">
        <v>17697</v>
      </c>
      <c r="O31" s="31">
        <v>12</v>
      </c>
      <c r="P31" s="31"/>
      <c r="Q31" s="31"/>
      <c r="R31" s="33">
        <f t="shared" si="4"/>
        <v>67691.024999999994</v>
      </c>
      <c r="S31" s="33" t="str">
        <f t="shared" si="5"/>
        <v/>
      </c>
      <c r="T31" s="33" t="str">
        <f t="shared" si="6"/>
        <v/>
      </c>
      <c r="U31" s="31"/>
      <c r="V31" s="30"/>
      <c r="W31" s="31"/>
      <c r="X31" s="30"/>
      <c r="Y31" s="31"/>
      <c r="Z31" s="30"/>
      <c r="AA31" s="33">
        <f t="shared" si="0"/>
        <v>67691.024999999994</v>
      </c>
      <c r="AB31" s="30"/>
      <c r="AC31" s="30"/>
      <c r="AD31" s="30"/>
      <c r="AE31" s="30"/>
      <c r="AF31" s="30">
        <f>N31*0.5</f>
        <v>8848.5</v>
      </c>
      <c r="AG31" s="30"/>
      <c r="AH31" s="30"/>
      <c r="AI31" s="30">
        <f>N31*0.2*12/18</f>
        <v>2359.6000000000004</v>
      </c>
      <c r="AJ31" s="31">
        <v>12</v>
      </c>
      <c r="AK31" s="34">
        <f t="shared" si="7"/>
        <v>20307.307499999999</v>
      </c>
      <c r="AL31" s="31"/>
      <c r="AM31" s="34"/>
      <c r="AN31" s="31"/>
      <c r="AO31" s="34"/>
      <c r="AP31" s="31"/>
      <c r="AQ31" s="34"/>
      <c r="AR31" s="34"/>
      <c r="AS31" s="34"/>
      <c r="AT31" s="34"/>
      <c r="AU31" s="34"/>
      <c r="AV31" s="34"/>
      <c r="AW31" s="34"/>
      <c r="AX31" s="34"/>
      <c r="AY31" s="34">
        <f t="shared" si="8"/>
        <v>6769.1025</v>
      </c>
      <c r="AZ31" s="34"/>
      <c r="BA31" s="71">
        <f t="array" ref="BA31">SUM(ROUND(AA31:AI31,0),ROUND(AK31:AK31,0),ROUND(AM31:AM31,0),ROUND(AO31:AO31,0),ROUND(AQ31:AZ31,0))</f>
        <v>105976</v>
      </c>
    </row>
    <row r="32" spans="1:53" s="20" customFormat="1" ht="12" thickBot="1" x14ac:dyDescent="0.25">
      <c r="A32" s="87"/>
      <c r="B32" s="86"/>
      <c r="C32" s="42" t="s">
        <v>97</v>
      </c>
      <c r="D32" s="43" t="s">
        <v>77</v>
      </c>
      <c r="E32" s="43" t="s">
        <v>78</v>
      </c>
      <c r="F32" s="42" t="s">
        <v>116</v>
      </c>
      <c r="G32" s="43" t="s">
        <v>84</v>
      </c>
      <c r="H32" s="44" t="s">
        <v>96</v>
      </c>
      <c r="I32" s="45">
        <v>4.59</v>
      </c>
      <c r="J32" s="46">
        <f t="shared" si="1"/>
        <v>81229.23</v>
      </c>
      <c r="K32" s="47">
        <v>1.25</v>
      </c>
      <c r="L32" s="46">
        <f t="shared" si="2"/>
        <v>101536.53749999999</v>
      </c>
      <c r="M32" s="48"/>
      <c r="N32" s="46">
        <v>17697</v>
      </c>
      <c r="O32" s="47">
        <v>2</v>
      </c>
      <c r="P32" s="47"/>
      <c r="Q32" s="47"/>
      <c r="R32" s="49">
        <f t="shared" si="4"/>
        <v>11281.8375</v>
      </c>
      <c r="S32" s="49" t="str">
        <f t="shared" si="5"/>
        <v/>
      </c>
      <c r="T32" s="49" t="str">
        <f t="shared" si="6"/>
        <v/>
      </c>
      <c r="U32" s="47"/>
      <c r="V32" s="46"/>
      <c r="W32" s="47"/>
      <c r="X32" s="46"/>
      <c r="Y32" s="47"/>
      <c r="Z32" s="46"/>
      <c r="AA32" s="49">
        <f t="shared" si="0"/>
        <v>11281.8375</v>
      </c>
      <c r="AB32" s="46"/>
      <c r="AC32" s="46"/>
      <c r="AD32" s="46"/>
      <c r="AE32" s="46"/>
      <c r="AF32" s="46"/>
      <c r="AG32" s="46"/>
      <c r="AH32" s="46"/>
      <c r="AI32" s="46">
        <f>N32*0.2*2/18</f>
        <v>393.26666666666665</v>
      </c>
      <c r="AJ32" s="47">
        <v>2</v>
      </c>
      <c r="AK32" s="50">
        <f t="shared" si="7"/>
        <v>3384.5512499999995</v>
      </c>
      <c r="AL32" s="47"/>
      <c r="AM32" s="50"/>
      <c r="AN32" s="47"/>
      <c r="AO32" s="50"/>
      <c r="AP32" s="47"/>
      <c r="AQ32" s="50"/>
      <c r="AR32" s="50"/>
      <c r="AS32" s="50"/>
      <c r="AT32" s="50"/>
      <c r="AU32" s="50"/>
      <c r="AV32" s="50"/>
      <c r="AW32" s="50"/>
      <c r="AX32" s="50"/>
      <c r="AY32" s="50">
        <f t="shared" si="8"/>
        <v>1128.1837499999999</v>
      </c>
      <c r="AZ32" s="50"/>
      <c r="BA32" s="71">
        <f t="array" ref="BA32">SUM(ROUND(AA32:AI32,0),ROUND(AK32:AK32,0),ROUND(AM32:AM32,0),ROUND(AO32:AO32,0),ROUND(AQ32:AZ32,0))</f>
        <v>16188</v>
      </c>
    </row>
    <row r="33" spans="1:53" s="20" customFormat="1" ht="12" thickBot="1" x14ac:dyDescent="0.25">
      <c r="A33" s="84">
        <v>11</v>
      </c>
      <c r="B33" s="82" t="s">
        <v>117</v>
      </c>
      <c r="C33" s="53" t="s">
        <v>95</v>
      </c>
      <c r="D33" s="54" t="s">
        <v>77</v>
      </c>
      <c r="E33" s="54" t="s">
        <v>83</v>
      </c>
      <c r="F33" s="53" t="s">
        <v>118</v>
      </c>
      <c r="G33" s="54" t="s">
        <v>84</v>
      </c>
      <c r="H33" s="55" t="s">
        <v>85</v>
      </c>
      <c r="I33" s="56">
        <v>5.32</v>
      </c>
      <c r="J33" s="57">
        <f t="shared" si="1"/>
        <v>94148.040000000008</v>
      </c>
      <c r="K33" s="58">
        <v>1.25</v>
      </c>
      <c r="L33" s="57">
        <f t="shared" si="2"/>
        <v>117685.05000000002</v>
      </c>
      <c r="M33" s="59"/>
      <c r="N33" s="57">
        <v>17697</v>
      </c>
      <c r="O33" s="58">
        <v>20</v>
      </c>
      <c r="P33" s="58"/>
      <c r="Q33" s="58"/>
      <c r="R33" s="60">
        <f t="shared" si="4"/>
        <v>130761.16666666669</v>
      </c>
      <c r="S33" s="60" t="str">
        <f t="shared" si="5"/>
        <v/>
      </c>
      <c r="T33" s="60" t="str">
        <f t="shared" si="6"/>
        <v/>
      </c>
      <c r="U33" s="58"/>
      <c r="V33" s="57">
        <f>N33*0.4</f>
        <v>7078.8</v>
      </c>
      <c r="W33" s="58"/>
      <c r="X33" s="57"/>
      <c r="Y33" s="58"/>
      <c r="Z33" s="57"/>
      <c r="AA33" s="60">
        <f t="shared" si="0"/>
        <v>137839.96666666667</v>
      </c>
      <c r="AB33" s="57"/>
      <c r="AC33" s="57"/>
      <c r="AD33" s="57"/>
      <c r="AE33" s="57"/>
      <c r="AF33" s="57">
        <f>N33*0.5</f>
        <v>8848.5</v>
      </c>
      <c r="AG33" s="57"/>
      <c r="AH33" s="57"/>
      <c r="AI33" s="57">
        <f>N33*0.2*20/18</f>
        <v>3932.6666666666665</v>
      </c>
      <c r="AJ33" s="58">
        <v>20</v>
      </c>
      <c r="AK33" s="61">
        <f t="shared" si="7"/>
        <v>39228.350000000006</v>
      </c>
      <c r="AL33" s="58"/>
      <c r="AM33" s="61"/>
      <c r="AN33" s="58"/>
      <c r="AO33" s="61"/>
      <c r="AP33" s="58">
        <v>20</v>
      </c>
      <c r="AQ33" s="61"/>
      <c r="AR33" s="61">
        <f>L33*0.4*AP33/18</f>
        <v>52304.466666666682</v>
      </c>
      <c r="AS33" s="61"/>
      <c r="AT33" s="61"/>
      <c r="AU33" s="61"/>
      <c r="AV33" s="61"/>
      <c r="AW33" s="61"/>
      <c r="AX33" s="61"/>
      <c r="AY33" s="61">
        <f t="shared" si="8"/>
        <v>13076.11666666667</v>
      </c>
      <c r="AZ33" s="61"/>
      <c r="BA33" s="71">
        <f t="array" ref="BA33">SUM(ROUND(AA33:AI33,0),ROUND(AK33:AK33,0),ROUND(AM33:AM33,0),ROUND(AO33:AO33,0),ROUND(AQ33:AZ33,0))</f>
        <v>255230</v>
      </c>
    </row>
    <row r="34" spans="1:53" s="20" customFormat="1" ht="12" thickBot="1" x14ac:dyDescent="0.25">
      <c r="A34" s="87"/>
      <c r="B34" s="86"/>
      <c r="C34" s="42" t="s">
        <v>97</v>
      </c>
      <c r="D34" s="43" t="s">
        <v>77</v>
      </c>
      <c r="E34" s="43" t="s">
        <v>83</v>
      </c>
      <c r="F34" s="42" t="s">
        <v>118</v>
      </c>
      <c r="G34" s="43" t="s">
        <v>84</v>
      </c>
      <c r="H34" s="44" t="s">
        <v>85</v>
      </c>
      <c r="I34" s="45">
        <v>5.32</v>
      </c>
      <c r="J34" s="46">
        <f t="shared" si="1"/>
        <v>94148.040000000008</v>
      </c>
      <c r="K34" s="47">
        <v>1.25</v>
      </c>
      <c r="L34" s="46">
        <f t="shared" si="2"/>
        <v>117685.05000000002</v>
      </c>
      <c r="M34" s="48"/>
      <c r="N34" s="46">
        <v>17697</v>
      </c>
      <c r="O34" s="47">
        <v>4</v>
      </c>
      <c r="P34" s="47"/>
      <c r="Q34" s="47"/>
      <c r="R34" s="49">
        <f t="shared" si="4"/>
        <v>26152.233333333337</v>
      </c>
      <c r="S34" s="49" t="str">
        <f t="shared" si="5"/>
        <v/>
      </c>
      <c r="T34" s="49" t="str">
        <f t="shared" si="6"/>
        <v/>
      </c>
      <c r="U34" s="47"/>
      <c r="V34" s="46"/>
      <c r="W34" s="47"/>
      <c r="X34" s="46"/>
      <c r="Y34" s="47"/>
      <c r="Z34" s="46"/>
      <c r="AA34" s="49">
        <f t="shared" si="0"/>
        <v>26152.233333333337</v>
      </c>
      <c r="AB34" s="46"/>
      <c r="AC34" s="46"/>
      <c r="AD34" s="46"/>
      <c r="AE34" s="46"/>
      <c r="AF34" s="46"/>
      <c r="AG34" s="46"/>
      <c r="AH34" s="46"/>
      <c r="AI34" s="46">
        <f>N34*0.2*4/18</f>
        <v>786.5333333333333</v>
      </c>
      <c r="AJ34" s="47">
        <v>4</v>
      </c>
      <c r="AK34" s="50">
        <f t="shared" si="7"/>
        <v>7845.6700000000019</v>
      </c>
      <c r="AL34" s="47"/>
      <c r="AM34" s="50"/>
      <c r="AN34" s="47"/>
      <c r="AO34" s="50"/>
      <c r="AP34" s="47">
        <v>4</v>
      </c>
      <c r="AQ34" s="50"/>
      <c r="AR34" s="50">
        <f>L34*0.4*AP34/18</f>
        <v>10460.893333333335</v>
      </c>
      <c r="AS34" s="50"/>
      <c r="AT34" s="50"/>
      <c r="AU34" s="50"/>
      <c r="AV34" s="50"/>
      <c r="AW34" s="50"/>
      <c r="AX34" s="50"/>
      <c r="AY34" s="50">
        <f t="shared" si="8"/>
        <v>2615.2233333333338</v>
      </c>
      <c r="AZ34" s="50"/>
      <c r="BA34" s="71">
        <f t="array" ref="BA34">SUM(ROUND(AA34:AI34,0),ROUND(AK34:AK34,0),ROUND(AM34:AM34,0),ROUND(AO34:AO34,0),ROUND(AQ34:AZ34,0))</f>
        <v>47861</v>
      </c>
    </row>
    <row r="35" spans="1:53" s="20" customFormat="1" ht="12" thickBot="1" x14ac:dyDescent="0.25">
      <c r="A35" s="84">
        <v>12</v>
      </c>
      <c r="B35" s="82" t="s">
        <v>119</v>
      </c>
      <c r="C35" s="53" t="s">
        <v>95</v>
      </c>
      <c r="D35" s="54" t="s">
        <v>77</v>
      </c>
      <c r="E35" s="54">
        <v>2</v>
      </c>
      <c r="F35" s="53" t="s">
        <v>120</v>
      </c>
      <c r="G35" s="54" t="s">
        <v>84</v>
      </c>
      <c r="H35" s="55" t="s">
        <v>81</v>
      </c>
      <c r="I35" s="56">
        <v>5.08</v>
      </c>
      <c r="J35" s="57">
        <f t="shared" si="1"/>
        <v>89900.76</v>
      </c>
      <c r="K35" s="58">
        <v>1.25</v>
      </c>
      <c r="L35" s="57">
        <f t="shared" si="2"/>
        <v>112375.95</v>
      </c>
      <c r="M35" s="59"/>
      <c r="N35" s="57">
        <v>17697</v>
      </c>
      <c r="O35" s="58">
        <v>13</v>
      </c>
      <c r="P35" s="58"/>
      <c r="Q35" s="58"/>
      <c r="R35" s="60">
        <f t="shared" si="4"/>
        <v>81160.40833333334</v>
      </c>
      <c r="S35" s="60" t="str">
        <f t="shared" si="5"/>
        <v/>
      </c>
      <c r="T35" s="60" t="str">
        <f t="shared" si="6"/>
        <v/>
      </c>
      <c r="U35" s="58"/>
      <c r="V35" s="57">
        <f>N35*0.4</f>
        <v>7078.8</v>
      </c>
      <c r="W35" s="58"/>
      <c r="X35" s="57"/>
      <c r="Y35" s="58"/>
      <c r="Z35" s="57"/>
      <c r="AA35" s="60">
        <f t="shared" si="0"/>
        <v>88239.208333333343</v>
      </c>
      <c r="AB35" s="57"/>
      <c r="AC35" s="57"/>
      <c r="AD35" s="57"/>
      <c r="AE35" s="57"/>
      <c r="AF35" s="57">
        <f>N35*0.5</f>
        <v>8848.5</v>
      </c>
      <c r="AG35" s="57"/>
      <c r="AH35" s="57"/>
      <c r="AI35" s="57">
        <f>N35*0.2*13/18</f>
        <v>2556.2333333333336</v>
      </c>
      <c r="AJ35" s="58">
        <v>13</v>
      </c>
      <c r="AK35" s="61">
        <f t="shared" si="7"/>
        <v>24348.122499999998</v>
      </c>
      <c r="AL35" s="58"/>
      <c r="AM35" s="61"/>
      <c r="AN35" s="58"/>
      <c r="AO35" s="61"/>
      <c r="AP35" s="58">
        <v>13</v>
      </c>
      <c r="AQ35" s="61"/>
      <c r="AR35" s="61"/>
      <c r="AS35" s="61"/>
      <c r="AT35" s="61">
        <f>L35*0.3*AP35/18</f>
        <v>24348.122499999998</v>
      </c>
      <c r="AU35" s="61"/>
      <c r="AV35" s="61"/>
      <c r="AW35" s="61"/>
      <c r="AX35" s="61"/>
      <c r="AY35" s="61">
        <f t="shared" si="8"/>
        <v>8116.0408333333344</v>
      </c>
      <c r="AZ35" s="61"/>
      <c r="BA35" s="71">
        <f t="array" ref="BA35">SUM(ROUND(AA35:AI35,0),ROUND(AK35:AK35,0),ROUND(AM35:AM35,0),ROUND(AO35:AO35,0),ROUND(AQ35:AZ35,0))</f>
        <v>156456</v>
      </c>
    </row>
    <row r="36" spans="1:53" s="20" customFormat="1" ht="12" thickBot="1" x14ac:dyDescent="0.25">
      <c r="A36" s="87"/>
      <c r="B36" s="86"/>
      <c r="C36" s="26" t="s">
        <v>95</v>
      </c>
      <c r="D36" s="27" t="s">
        <v>77</v>
      </c>
      <c r="E36" s="27">
        <v>2</v>
      </c>
      <c r="F36" s="26" t="s">
        <v>120</v>
      </c>
      <c r="G36" s="27" t="s">
        <v>84</v>
      </c>
      <c r="H36" s="28" t="s">
        <v>81</v>
      </c>
      <c r="I36" s="29">
        <v>5.08</v>
      </c>
      <c r="J36" s="30">
        <f t="shared" si="1"/>
        <v>89900.76</v>
      </c>
      <c r="K36" s="31">
        <v>1.25</v>
      </c>
      <c r="L36" s="30">
        <f t="shared" si="2"/>
        <v>112375.95</v>
      </c>
      <c r="M36" s="32"/>
      <c r="N36" s="30">
        <v>17697</v>
      </c>
      <c r="O36" s="31">
        <v>13</v>
      </c>
      <c r="P36" s="31"/>
      <c r="Q36" s="31"/>
      <c r="R36" s="33">
        <f t="shared" si="4"/>
        <v>81160.40833333334</v>
      </c>
      <c r="S36" s="33" t="str">
        <f t="shared" si="5"/>
        <v/>
      </c>
      <c r="T36" s="33" t="str">
        <f t="shared" si="6"/>
        <v/>
      </c>
      <c r="U36" s="31"/>
      <c r="V36" s="30">
        <f>N36*0.4</f>
        <v>7078.8</v>
      </c>
      <c r="W36" s="31"/>
      <c r="X36" s="30"/>
      <c r="Y36" s="31"/>
      <c r="Z36" s="30"/>
      <c r="AA36" s="33">
        <f t="shared" si="0"/>
        <v>88239.208333333343</v>
      </c>
      <c r="AB36" s="30"/>
      <c r="AC36" s="30"/>
      <c r="AD36" s="30"/>
      <c r="AE36" s="30"/>
      <c r="AF36" s="30">
        <f>N36*0.5</f>
        <v>8848.5</v>
      </c>
      <c r="AG36" s="30"/>
      <c r="AH36" s="30"/>
      <c r="AI36" s="30">
        <f>N36*0.2*13/18</f>
        <v>2556.2333333333336</v>
      </c>
      <c r="AJ36" s="31">
        <v>13</v>
      </c>
      <c r="AK36" s="34">
        <f t="shared" si="7"/>
        <v>24348.122499999998</v>
      </c>
      <c r="AL36" s="31"/>
      <c r="AM36" s="34"/>
      <c r="AN36" s="31"/>
      <c r="AO36" s="34"/>
      <c r="AP36" s="31">
        <v>13</v>
      </c>
      <c r="AQ36" s="34"/>
      <c r="AR36" s="34"/>
      <c r="AS36" s="34"/>
      <c r="AT36" s="34">
        <f>L36*0.3*AP36/18</f>
        <v>24348.122499999998</v>
      </c>
      <c r="AU36" s="34"/>
      <c r="AV36" s="34"/>
      <c r="AW36" s="34"/>
      <c r="AX36" s="34"/>
      <c r="AY36" s="34">
        <f t="shared" si="8"/>
        <v>8116.0408333333344</v>
      </c>
      <c r="AZ36" s="34"/>
      <c r="BA36" s="71">
        <f t="array" ref="BA36">SUM(ROUND(AA36:AI36,0),ROUND(AK36:AK36,0),ROUND(AM36:AM36,0),ROUND(AO36:AO36,0),ROUND(AQ36:AZ36,0))</f>
        <v>156456</v>
      </c>
    </row>
    <row r="37" spans="1:53" s="20" customFormat="1" ht="12" thickBot="1" x14ac:dyDescent="0.25">
      <c r="A37" s="87"/>
      <c r="B37" s="86"/>
      <c r="C37" s="42" t="s">
        <v>97</v>
      </c>
      <c r="D37" s="43" t="s">
        <v>77</v>
      </c>
      <c r="E37" s="43">
        <v>2</v>
      </c>
      <c r="F37" s="42" t="s">
        <v>120</v>
      </c>
      <c r="G37" s="43" t="s">
        <v>84</v>
      </c>
      <c r="H37" s="44" t="s">
        <v>81</v>
      </c>
      <c r="I37" s="45">
        <v>5.08</v>
      </c>
      <c r="J37" s="46">
        <f t="shared" si="1"/>
        <v>89900.76</v>
      </c>
      <c r="K37" s="47">
        <v>1.25</v>
      </c>
      <c r="L37" s="46">
        <f t="shared" si="2"/>
        <v>112375.95</v>
      </c>
      <c r="M37" s="48"/>
      <c r="N37" s="46">
        <v>17697</v>
      </c>
      <c r="O37" s="47">
        <v>2</v>
      </c>
      <c r="P37" s="47"/>
      <c r="Q37" s="47"/>
      <c r="R37" s="49">
        <f t="shared" si="4"/>
        <v>12486.216666666667</v>
      </c>
      <c r="S37" s="49" t="str">
        <f t="shared" si="5"/>
        <v/>
      </c>
      <c r="T37" s="49" t="str">
        <f t="shared" si="6"/>
        <v/>
      </c>
      <c r="U37" s="47"/>
      <c r="V37" s="46"/>
      <c r="W37" s="47"/>
      <c r="X37" s="46"/>
      <c r="Y37" s="47"/>
      <c r="Z37" s="46"/>
      <c r="AA37" s="49">
        <f t="shared" si="0"/>
        <v>12486.216666666667</v>
      </c>
      <c r="AB37" s="46"/>
      <c r="AC37" s="46"/>
      <c r="AD37" s="46"/>
      <c r="AE37" s="46"/>
      <c r="AF37" s="46"/>
      <c r="AG37" s="46"/>
      <c r="AH37" s="46"/>
      <c r="AI37" s="46">
        <f>N37*0.2*2/18</f>
        <v>393.26666666666665</v>
      </c>
      <c r="AJ37" s="47">
        <v>2</v>
      </c>
      <c r="AK37" s="50">
        <f t="shared" si="7"/>
        <v>3745.8649999999998</v>
      </c>
      <c r="AL37" s="47"/>
      <c r="AM37" s="50"/>
      <c r="AN37" s="47"/>
      <c r="AO37" s="50"/>
      <c r="AP37" s="47">
        <v>2</v>
      </c>
      <c r="AQ37" s="50"/>
      <c r="AR37" s="50"/>
      <c r="AS37" s="50"/>
      <c r="AT37" s="50">
        <f>L37*0.3*AP37/18</f>
        <v>3745.8649999999998</v>
      </c>
      <c r="AU37" s="50"/>
      <c r="AV37" s="50"/>
      <c r="AW37" s="50"/>
      <c r="AX37" s="50"/>
      <c r="AY37" s="50">
        <f t="shared" si="8"/>
        <v>1248.6216666666669</v>
      </c>
      <c r="AZ37" s="50"/>
      <c r="BA37" s="71">
        <f t="array" ref="BA37">SUM(ROUND(AA37:AI37,0),ROUND(AK37:AK37,0),ROUND(AM37:AM37,0),ROUND(AO37:AO37,0),ROUND(AQ37:AZ37,0))</f>
        <v>21620</v>
      </c>
    </row>
    <row r="38" spans="1:53" s="20" customFormat="1" ht="12" thickBot="1" x14ac:dyDescent="0.25">
      <c r="A38" s="84">
        <v>13</v>
      </c>
      <c r="B38" s="82" t="s">
        <v>121</v>
      </c>
      <c r="C38" s="53" t="s">
        <v>95</v>
      </c>
      <c r="D38" s="54" t="s">
        <v>77</v>
      </c>
      <c r="E38" s="54" t="s">
        <v>83</v>
      </c>
      <c r="F38" s="53" t="s">
        <v>122</v>
      </c>
      <c r="G38" s="54" t="s">
        <v>84</v>
      </c>
      <c r="H38" s="55" t="s">
        <v>85</v>
      </c>
      <c r="I38" s="56">
        <v>5.41</v>
      </c>
      <c r="J38" s="57">
        <f t="shared" si="1"/>
        <v>95740.77</v>
      </c>
      <c r="K38" s="58">
        <v>1.25</v>
      </c>
      <c r="L38" s="57">
        <f t="shared" si="2"/>
        <v>119675.96250000001</v>
      </c>
      <c r="M38" s="59"/>
      <c r="N38" s="57">
        <v>17697</v>
      </c>
      <c r="O38" s="58">
        <v>26</v>
      </c>
      <c r="P38" s="58"/>
      <c r="Q38" s="58"/>
      <c r="R38" s="60">
        <f t="shared" si="4"/>
        <v>172865.27916666667</v>
      </c>
      <c r="S38" s="60" t="str">
        <f t="shared" si="5"/>
        <v/>
      </c>
      <c r="T38" s="60" t="str">
        <f t="shared" si="6"/>
        <v/>
      </c>
      <c r="U38" s="58"/>
      <c r="V38" s="57">
        <f>N38*0.4</f>
        <v>7078.8</v>
      </c>
      <c r="W38" s="58"/>
      <c r="X38" s="57"/>
      <c r="Y38" s="58"/>
      <c r="Z38" s="57"/>
      <c r="AA38" s="60">
        <f t="shared" si="0"/>
        <v>179944.07916666666</v>
      </c>
      <c r="AB38" s="57"/>
      <c r="AC38" s="57"/>
      <c r="AD38" s="57"/>
      <c r="AE38" s="57"/>
      <c r="AF38" s="57">
        <f>N38*0.5</f>
        <v>8848.5</v>
      </c>
      <c r="AG38" s="57"/>
      <c r="AH38" s="57"/>
      <c r="AI38" s="57">
        <f>N38*0.2*26/18</f>
        <v>5112.4666666666672</v>
      </c>
      <c r="AJ38" s="58">
        <v>26</v>
      </c>
      <c r="AK38" s="61">
        <f t="shared" si="7"/>
        <v>51859.583749999998</v>
      </c>
      <c r="AL38" s="58"/>
      <c r="AM38" s="61"/>
      <c r="AN38" s="58"/>
      <c r="AO38" s="61"/>
      <c r="AP38" s="58">
        <v>26</v>
      </c>
      <c r="AQ38" s="61"/>
      <c r="AR38" s="61">
        <f>L38*0.4*AP38/18</f>
        <v>69146.111666666679</v>
      </c>
      <c r="AS38" s="61"/>
      <c r="AT38" s="61"/>
      <c r="AU38" s="61"/>
      <c r="AV38" s="61"/>
      <c r="AW38" s="61"/>
      <c r="AX38" s="61"/>
      <c r="AY38" s="61">
        <f t="shared" si="8"/>
        <v>17286.52791666667</v>
      </c>
      <c r="AZ38" s="61"/>
      <c r="BA38" s="71">
        <f t="array" ref="BA38">SUM(ROUND(AA38:AI38,0),ROUND(AK38:AK38,0),ROUND(AM38:AM38,0),ROUND(AO38:AO38,0),ROUND(AQ38:AZ38,0))</f>
        <v>332198</v>
      </c>
    </row>
    <row r="39" spans="1:53" s="20" customFormat="1" ht="12" thickBot="1" x14ac:dyDescent="0.25">
      <c r="A39" s="87"/>
      <c r="B39" s="86"/>
      <c r="C39" s="42" t="s">
        <v>97</v>
      </c>
      <c r="D39" s="43" t="s">
        <v>77</v>
      </c>
      <c r="E39" s="43" t="s">
        <v>83</v>
      </c>
      <c r="F39" s="42" t="s">
        <v>122</v>
      </c>
      <c r="G39" s="43" t="s">
        <v>84</v>
      </c>
      <c r="H39" s="44" t="s">
        <v>85</v>
      </c>
      <c r="I39" s="45">
        <v>5.41</v>
      </c>
      <c r="J39" s="46">
        <f t="shared" si="1"/>
        <v>95740.77</v>
      </c>
      <c r="K39" s="47">
        <v>1.25</v>
      </c>
      <c r="L39" s="46">
        <f t="shared" si="2"/>
        <v>119675.96250000001</v>
      </c>
      <c r="M39" s="48"/>
      <c r="N39" s="46">
        <v>17697</v>
      </c>
      <c r="O39" s="47">
        <v>2</v>
      </c>
      <c r="P39" s="47"/>
      <c r="Q39" s="47"/>
      <c r="R39" s="49">
        <f t="shared" si="4"/>
        <v>13297.329166666668</v>
      </c>
      <c r="S39" s="49" t="str">
        <f t="shared" si="5"/>
        <v/>
      </c>
      <c r="T39" s="49" t="str">
        <f t="shared" si="6"/>
        <v/>
      </c>
      <c r="U39" s="47"/>
      <c r="V39" s="46"/>
      <c r="W39" s="47"/>
      <c r="X39" s="46"/>
      <c r="Y39" s="47"/>
      <c r="Z39" s="46"/>
      <c r="AA39" s="49">
        <f t="shared" si="0"/>
        <v>13297.329166666668</v>
      </c>
      <c r="AB39" s="46"/>
      <c r="AC39" s="46"/>
      <c r="AD39" s="46"/>
      <c r="AE39" s="46"/>
      <c r="AF39" s="46"/>
      <c r="AG39" s="46"/>
      <c r="AH39" s="46"/>
      <c r="AI39" s="46">
        <f>N39*0.2*2/18</f>
        <v>393.26666666666665</v>
      </c>
      <c r="AJ39" s="47">
        <v>2</v>
      </c>
      <c r="AK39" s="50">
        <f t="shared" si="7"/>
        <v>3989.19875</v>
      </c>
      <c r="AL39" s="47"/>
      <c r="AM39" s="50"/>
      <c r="AN39" s="47"/>
      <c r="AO39" s="50"/>
      <c r="AP39" s="47">
        <v>2</v>
      </c>
      <c r="AQ39" s="50"/>
      <c r="AR39" s="50">
        <f>L39*0.4*AP39/18</f>
        <v>5318.9316666666673</v>
      </c>
      <c r="AS39" s="50"/>
      <c r="AT39" s="50"/>
      <c r="AU39" s="50"/>
      <c r="AV39" s="50"/>
      <c r="AW39" s="50"/>
      <c r="AX39" s="50"/>
      <c r="AY39" s="50">
        <f t="shared" si="8"/>
        <v>1329.7329166666668</v>
      </c>
      <c r="AZ39" s="50"/>
      <c r="BA39" s="71">
        <f t="array" ref="BA39">SUM(ROUND(AA39:AI39,0),ROUND(AK39:AK39,0),ROUND(AM39:AM39,0),ROUND(AO39:AO39,0),ROUND(AQ39:AZ39,0))</f>
        <v>24328</v>
      </c>
    </row>
    <row r="40" spans="1:53" s="20" customFormat="1" ht="12" thickBot="1" x14ac:dyDescent="0.25">
      <c r="A40" s="84">
        <v>14</v>
      </c>
      <c r="B40" s="82" t="s">
        <v>123</v>
      </c>
      <c r="C40" s="53" t="s">
        <v>95</v>
      </c>
      <c r="D40" s="54" t="s">
        <v>77</v>
      </c>
      <c r="E40" s="54" t="s">
        <v>83</v>
      </c>
      <c r="F40" s="53" t="s">
        <v>124</v>
      </c>
      <c r="G40" s="54" t="s">
        <v>84</v>
      </c>
      <c r="H40" s="55" t="s">
        <v>85</v>
      </c>
      <c r="I40" s="56">
        <v>5.41</v>
      </c>
      <c r="J40" s="57">
        <f t="shared" si="1"/>
        <v>95740.77</v>
      </c>
      <c r="K40" s="58">
        <v>1.25</v>
      </c>
      <c r="L40" s="57">
        <f t="shared" si="2"/>
        <v>119675.96250000001</v>
      </c>
      <c r="M40" s="59"/>
      <c r="N40" s="57">
        <v>17697</v>
      </c>
      <c r="O40" s="58">
        <v>16</v>
      </c>
      <c r="P40" s="58"/>
      <c r="Q40" s="58"/>
      <c r="R40" s="60">
        <f t="shared" si="4"/>
        <v>106378.63333333335</v>
      </c>
      <c r="S40" s="60" t="str">
        <f t="shared" si="5"/>
        <v/>
      </c>
      <c r="T40" s="60" t="str">
        <f t="shared" si="6"/>
        <v/>
      </c>
      <c r="U40" s="58"/>
      <c r="V40" s="57">
        <f>N40*0.4</f>
        <v>7078.8</v>
      </c>
      <c r="W40" s="58"/>
      <c r="X40" s="57"/>
      <c r="Y40" s="58"/>
      <c r="Z40" s="57"/>
      <c r="AA40" s="60">
        <f t="shared" si="0"/>
        <v>113457.43333333335</v>
      </c>
      <c r="AB40" s="57"/>
      <c r="AC40" s="57"/>
      <c r="AD40" s="57"/>
      <c r="AE40" s="57"/>
      <c r="AF40" s="57">
        <f>N40*0.5</f>
        <v>8848.5</v>
      </c>
      <c r="AG40" s="57"/>
      <c r="AH40" s="57"/>
      <c r="AI40" s="57">
        <f>N40*0.2*16/18</f>
        <v>3146.1333333333332</v>
      </c>
      <c r="AJ40" s="58">
        <v>16</v>
      </c>
      <c r="AK40" s="61">
        <f t="shared" si="7"/>
        <v>31913.59</v>
      </c>
      <c r="AL40" s="58"/>
      <c r="AM40" s="61"/>
      <c r="AN40" s="58"/>
      <c r="AO40" s="61"/>
      <c r="AP40" s="58">
        <v>16</v>
      </c>
      <c r="AQ40" s="61"/>
      <c r="AR40" s="61">
        <f>L40*0.4*AP40/18</f>
        <v>42551.453333333338</v>
      </c>
      <c r="AS40" s="61"/>
      <c r="AT40" s="61"/>
      <c r="AU40" s="61"/>
      <c r="AV40" s="61"/>
      <c r="AW40" s="61"/>
      <c r="AX40" s="61"/>
      <c r="AY40" s="61">
        <f t="shared" si="8"/>
        <v>10637.863333333335</v>
      </c>
      <c r="AZ40" s="61"/>
      <c r="BA40" s="71">
        <f t="array" ref="BA40">SUM(ROUND(AA40:AI40,0),ROUND(AK40:AK40,0),ROUND(AM40:AM40,0),ROUND(AO40:AO40,0),ROUND(AQ40:AZ40,0))</f>
        <v>210555</v>
      </c>
    </row>
    <row r="41" spans="1:53" s="20" customFormat="1" ht="12" thickBot="1" x14ac:dyDescent="0.25">
      <c r="A41" s="87"/>
      <c r="B41" s="86"/>
      <c r="C41" s="26" t="s">
        <v>95</v>
      </c>
      <c r="D41" s="27" t="s">
        <v>77</v>
      </c>
      <c r="E41" s="27" t="s">
        <v>83</v>
      </c>
      <c r="F41" s="26" t="s">
        <v>124</v>
      </c>
      <c r="G41" s="27" t="s">
        <v>84</v>
      </c>
      <c r="H41" s="28" t="s">
        <v>85</v>
      </c>
      <c r="I41" s="29">
        <v>5.41</v>
      </c>
      <c r="J41" s="30">
        <f t="shared" si="1"/>
        <v>95740.77</v>
      </c>
      <c r="K41" s="31">
        <v>1.25</v>
      </c>
      <c r="L41" s="30">
        <f t="shared" si="2"/>
        <v>119675.96250000001</v>
      </c>
      <c r="M41" s="32"/>
      <c r="N41" s="30">
        <v>17697</v>
      </c>
      <c r="O41" s="31">
        <v>16</v>
      </c>
      <c r="P41" s="31"/>
      <c r="Q41" s="31"/>
      <c r="R41" s="33">
        <f t="shared" si="4"/>
        <v>106378.63333333335</v>
      </c>
      <c r="S41" s="33" t="str">
        <f t="shared" si="5"/>
        <v/>
      </c>
      <c r="T41" s="33" t="str">
        <f t="shared" si="6"/>
        <v/>
      </c>
      <c r="U41" s="31"/>
      <c r="V41" s="30">
        <f>N41*0.4</f>
        <v>7078.8</v>
      </c>
      <c r="W41" s="31"/>
      <c r="X41" s="30"/>
      <c r="Y41" s="31"/>
      <c r="Z41" s="30"/>
      <c r="AA41" s="33">
        <f t="shared" si="0"/>
        <v>113457.43333333335</v>
      </c>
      <c r="AB41" s="30"/>
      <c r="AC41" s="30"/>
      <c r="AD41" s="30"/>
      <c r="AE41" s="30"/>
      <c r="AF41" s="30">
        <f>N41*0.5</f>
        <v>8848.5</v>
      </c>
      <c r="AG41" s="30"/>
      <c r="AH41" s="30"/>
      <c r="AI41" s="30">
        <f>N41*0.2*16/18</f>
        <v>3146.1333333333332</v>
      </c>
      <c r="AJ41" s="31">
        <v>16</v>
      </c>
      <c r="AK41" s="34">
        <f t="shared" si="7"/>
        <v>31913.59</v>
      </c>
      <c r="AL41" s="31"/>
      <c r="AM41" s="34"/>
      <c r="AN41" s="31"/>
      <c r="AO41" s="34"/>
      <c r="AP41" s="31">
        <v>16</v>
      </c>
      <c r="AQ41" s="34"/>
      <c r="AR41" s="34">
        <f>L41*0.4*AP41/18</f>
        <v>42551.453333333338</v>
      </c>
      <c r="AS41" s="34"/>
      <c r="AT41" s="34"/>
      <c r="AU41" s="34"/>
      <c r="AV41" s="34"/>
      <c r="AW41" s="34"/>
      <c r="AX41" s="34"/>
      <c r="AY41" s="34">
        <f t="shared" si="8"/>
        <v>10637.863333333335</v>
      </c>
      <c r="AZ41" s="34"/>
      <c r="BA41" s="71">
        <f t="array" ref="BA41">SUM(ROUND(AA41:AI41,0),ROUND(AK41:AK41,0),ROUND(AM41:AM41,0),ROUND(AO41:AO41,0),ROUND(AQ41:AZ41,0))</f>
        <v>210555</v>
      </c>
    </row>
    <row r="42" spans="1:53" s="20" customFormat="1" ht="12" thickBot="1" x14ac:dyDescent="0.25">
      <c r="A42" s="87"/>
      <c r="B42" s="86"/>
      <c r="C42" s="42" t="s">
        <v>97</v>
      </c>
      <c r="D42" s="43" t="s">
        <v>77</v>
      </c>
      <c r="E42" s="43" t="s">
        <v>83</v>
      </c>
      <c r="F42" s="42" t="s">
        <v>124</v>
      </c>
      <c r="G42" s="43" t="s">
        <v>84</v>
      </c>
      <c r="H42" s="44" t="s">
        <v>85</v>
      </c>
      <c r="I42" s="45">
        <v>5.41</v>
      </c>
      <c r="J42" s="46">
        <f t="shared" si="1"/>
        <v>95740.77</v>
      </c>
      <c r="K42" s="47">
        <v>1.25</v>
      </c>
      <c r="L42" s="46">
        <f t="shared" si="2"/>
        <v>119675.96250000001</v>
      </c>
      <c r="M42" s="48"/>
      <c r="N42" s="46">
        <v>17697</v>
      </c>
      <c r="O42" s="47">
        <v>2</v>
      </c>
      <c r="P42" s="47"/>
      <c r="Q42" s="47"/>
      <c r="R42" s="49">
        <f t="shared" si="4"/>
        <v>13297.329166666668</v>
      </c>
      <c r="S42" s="49" t="str">
        <f t="shared" si="5"/>
        <v/>
      </c>
      <c r="T42" s="49" t="str">
        <f t="shared" si="6"/>
        <v/>
      </c>
      <c r="U42" s="47"/>
      <c r="V42" s="46"/>
      <c r="W42" s="47"/>
      <c r="X42" s="46"/>
      <c r="Y42" s="47"/>
      <c r="Z42" s="46"/>
      <c r="AA42" s="49">
        <f t="shared" si="0"/>
        <v>13297.329166666668</v>
      </c>
      <c r="AB42" s="46"/>
      <c r="AC42" s="46"/>
      <c r="AD42" s="46"/>
      <c r="AE42" s="46"/>
      <c r="AF42" s="46"/>
      <c r="AG42" s="46"/>
      <c r="AH42" s="46"/>
      <c r="AI42" s="46">
        <f>N42*0.2*2/18</f>
        <v>393.26666666666665</v>
      </c>
      <c r="AJ42" s="47">
        <v>2</v>
      </c>
      <c r="AK42" s="50">
        <f t="shared" si="7"/>
        <v>3989.19875</v>
      </c>
      <c r="AL42" s="47"/>
      <c r="AM42" s="50"/>
      <c r="AN42" s="47"/>
      <c r="AO42" s="50"/>
      <c r="AP42" s="47">
        <v>2</v>
      </c>
      <c r="AQ42" s="50"/>
      <c r="AR42" s="50">
        <f>L42*0.4*AP42/18</f>
        <v>5318.9316666666673</v>
      </c>
      <c r="AS42" s="50"/>
      <c r="AT42" s="50"/>
      <c r="AU42" s="50"/>
      <c r="AV42" s="50"/>
      <c r="AW42" s="50"/>
      <c r="AX42" s="50"/>
      <c r="AY42" s="50">
        <f t="shared" si="8"/>
        <v>1329.7329166666668</v>
      </c>
      <c r="AZ42" s="50"/>
      <c r="BA42" s="71">
        <f t="array" ref="BA42">SUM(ROUND(AA42:AI42,0),ROUND(AK42:AK42,0),ROUND(AM42:AM42,0),ROUND(AO42:AO42,0),ROUND(AQ42:AZ42,0))</f>
        <v>24328</v>
      </c>
    </row>
    <row r="43" spans="1:53" s="20" customFormat="1" ht="12" thickBot="1" x14ac:dyDescent="0.25">
      <c r="A43" s="84">
        <v>15</v>
      </c>
      <c r="B43" s="82" t="s">
        <v>125</v>
      </c>
      <c r="C43" s="53" t="s">
        <v>95</v>
      </c>
      <c r="D43" s="54" t="s">
        <v>77</v>
      </c>
      <c r="E43" s="54" t="s">
        <v>78</v>
      </c>
      <c r="F43" s="53" t="s">
        <v>126</v>
      </c>
      <c r="G43" s="54" t="s">
        <v>84</v>
      </c>
      <c r="H43" s="55" t="s">
        <v>96</v>
      </c>
      <c r="I43" s="56">
        <v>4.49</v>
      </c>
      <c r="J43" s="57">
        <f t="shared" si="1"/>
        <v>79459.53</v>
      </c>
      <c r="K43" s="58">
        <v>1.25</v>
      </c>
      <c r="L43" s="57">
        <f t="shared" si="2"/>
        <v>99324.412500000006</v>
      </c>
      <c r="M43" s="59"/>
      <c r="N43" s="57">
        <v>17697</v>
      </c>
      <c r="O43" s="58">
        <v>18</v>
      </c>
      <c r="P43" s="58"/>
      <c r="Q43" s="58"/>
      <c r="R43" s="60">
        <f t="shared" si="4"/>
        <v>99324.412500000006</v>
      </c>
      <c r="S43" s="60" t="str">
        <f t="shared" si="5"/>
        <v/>
      </c>
      <c r="T43" s="60" t="str">
        <f t="shared" si="6"/>
        <v/>
      </c>
      <c r="U43" s="58"/>
      <c r="V43" s="57">
        <f>N43*0.4</f>
        <v>7078.8</v>
      </c>
      <c r="W43" s="58"/>
      <c r="X43" s="57"/>
      <c r="Y43" s="58"/>
      <c r="Z43" s="57"/>
      <c r="AA43" s="60">
        <f t="shared" si="0"/>
        <v>106403.21250000001</v>
      </c>
      <c r="AB43" s="57"/>
      <c r="AC43" s="57"/>
      <c r="AD43" s="57"/>
      <c r="AE43" s="57"/>
      <c r="AF43" s="57">
        <f>N43*0.5</f>
        <v>8848.5</v>
      </c>
      <c r="AG43" s="57"/>
      <c r="AH43" s="57"/>
      <c r="AI43" s="57">
        <f>N43*0.2*18/18</f>
        <v>3539.4</v>
      </c>
      <c r="AJ43" s="58">
        <v>18</v>
      </c>
      <c r="AK43" s="61">
        <f t="shared" si="7"/>
        <v>29797.32375</v>
      </c>
      <c r="AL43" s="58"/>
      <c r="AM43" s="61"/>
      <c r="AN43" s="58"/>
      <c r="AO43" s="61"/>
      <c r="AP43" s="58"/>
      <c r="AQ43" s="61"/>
      <c r="AR43" s="61"/>
      <c r="AS43" s="61"/>
      <c r="AT43" s="61"/>
      <c r="AU43" s="61"/>
      <c r="AV43" s="61"/>
      <c r="AW43" s="61"/>
      <c r="AX43" s="61"/>
      <c r="AY43" s="61">
        <f t="shared" si="8"/>
        <v>9932.4412500000017</v>
      </c>
      <c r="AZ43" s="61"/>
      <c r="BA43" s="71">
        <f t="array" ref="BA43">SUM(ROUND(AA43:AI43,0),ROUND(AK43:AK43,0),ROUND(AM43:AM43,0),ROUND(AO43:AO43,0),ROUND(AQ43:AZ43,0))</f>
        <v>158520</v>
      </c>
    </row>
    <row r="44" spans="1:53" s="20" customFormat="1" ht="12" thickBot="1" x14ac:dyDescent="0.25">
      <c r="A44" s="87"/>
      <c r="B44" s="86"/>
      <c r="C44" s="42" t="s">
        <v>127</v>
      </c>
      <c r="D44" s="43" t="s">
        <v>77</v>
      </c>
      <c r="E44" s="43" t="s">
        <v>78</v>
      </c>
      <c r="F44" s="42" t="s">
        <v>126</v>
      </c>
      <c r="G44" s="43" t="s">
        <v>84</v>
      </c>
      <c r="H44" s="44" t="s">
        <v>96</v>
      </c>
      <c r="I44" s="45">
        <v>4.49</v>
      </c>
      <c r="J44" s="46">
        <f t="shared" si="1"/>
        <v>79459.53</v>
      </c>
      <c r="K44" s="47">
        <v>1.25</v>
      </c>
      <c r="L44" s="46">
        <f t="shared" si="2"/>
        <v>99324.412500000006</v>
      </c>
      <c r="M44" s="48"/>
      <c r="N44" s="46">
        <v>17697</v>
      </c>
      <c r="O44" s="47">
        <v>2</v>
      </c>
      <c r="P44" s="47"/>
      <c r="Q44" s="47"/>
      <c r="R44" s="49">
        <f t="shared" si="4"/>
        <v>11036.045833333334</v>
      </c>
      <c r="S44" s="49" t="str">
        <f t="shared" si="5"/>
        <v/>
      </c>
      <c r="T44" s="49" t="str">
        <f t="shared" si="6"/>
        <v/>
      </c>
      <c r="U44" s="47"/>
      <c r="V44" s="46"/>
      <c r="W44" s="47"/>
      <c r="X44" s="46"/>
      <c r="Y44" s="47"/>
      <c r="Z44" s="46"/>
      <c r="AA44" s="49">
        <f t="shared" ref="AA44:AA75" si="9">SUM(R44:T44,V44,X44,Z44)</f>
        <v>11036.045833333334</v>
      </c>
      <c r="AB44" s="46"/>
      <c r="AC44" s="46"/>
      <c r="AD44" s="46"/>
      <c r="AE44" s="46"/>
      <c r="AF44" s="46"/>
      <c r="AG44" s="46"/>
      <c r="AH44" s="46"/>
      <c r="AI44" s="46">
        <f>N44*0.2*2/18</f>
        <v>393.26666666666665</v>
      </c>
      <c r="AJ44" s="47">
        <v>2</v>
      </c>
      <c r="AK44" s="50">
        <f t="shared" si="7"/>
        <v>3310.8137499999998</v>
      </c>
      <c r="AL44" s="47"/>
      <c r="AM44" s="50"/>
      <c r="AN44" s="47"/>
      <c r="AO44" s="50"/>
      <c r="AP44" s="47"/>
      <c r="AQ44" s="50"/>
      <c r="AR44" s="50"/>
      <c r="AS44" s="50"/>
      <c r="AT44" s="50"/>
      <c r="AU44" s="50"/>
      <c r="AV44" s="50"/>
      <c r="AW44" s="50"/>
      <c r="AX44" s="50"/>
      <c r="AY44" s="50">
        <f t="shared" si="8"/>
        <v>1103.6045833333335</v>
      </c>
      <c r="AZ44" s="50"/>
      <c r="BA44" s="71">
        <f t="array" ref="BA44">SUM(ROUND(AA44:AI44,0),ROUND(AK44:AK44,0),ROUND(AM44:AM44,0),ROUND(AO44:AO44,0),ROUND(AQ44:AZ44,0))</f>
        <v>15844</v>
      </c>
    </row>
    <row r="45" spans="1:53" s="20" customFormat="1" ht="12" thickBot="1" x14ac:dyDescent="0.25">
      <c r="A45" s="84">
        <v>16</v>
      </c>
      <c r="B45" s="82" t="s">
        <v>128</v>
      </c>
      <c r="C45" s="53" t="s">
        <v>95</v>
      </c>
      <c r="D45" s="54" t="s">
        <v>77</v>
      </c>
      <c r="E45" s="54" t="s">
        <v>83</v>
      </c>
      <c r="F45" s="53" t="s">
        <v>129</v>
      </c>
      <c r="G45" s="54" t="s">
        <v>84</v>
      </c>
      <c r="H45" s="55" t="s">
        <v>85</v>
      </c>
      <c r="I45" s="56">
        <v>5.41</v>
      </c>
      <c r="J45" s="57">
        <f t="shared" si="1"/>
        <v>95740.77</v>
      </c>
      <c r="K45" s="58">
        <v>1.25</v>
      </c>
      <c r="L45" s="57">
        <f t="shared" si="2"/>
        <v>119675.96250000001</v>
      </c>
      <c r="M45" s="59"/>
      <c r="N45" s="57">
        <v>17697</v>
      </c>
      <c r="O45" s="58">
        <v>19</v>
      </c>
      <c r="P45" s="58"/>
      <c r="Q45" s="58"/>
      <c r="R45" s="60">
        <f t="shared" si="4"/>
        <v>126324.62708333335</v>
      </c>
      <c r="S45" s="60" t="str">
        <f t="shared" si="5"/>
        <v/>
      </c>
      <c r="T45" s="60" t="str">
        <f t="shared" si="6"/>
        <v/>
      </c>
      <c r="U45" s="58"/>
      <c r="V45" s="57">
        <f>N45*0.4</f>
        <v>7078.8</v>
      </c>
      <c r="W45" s="58"/>
      <c r="X45" s="57"/>
      <c r="Y45" s="58"/>
      <c r="Z45" s="57"/>
      <c r="AA45" s="60">
        <f t="shared" si="9"/>
        <v>133403.42708333334</v>
      </c>
      <c r="AB45" s="57"/>
      <c r="AC45" s="57"/>
      <c r="AD45" s="57"/>
      <c r="AE45" s="57"/>
      <c r="AF45" s="57">
        <f>N45*0.5</f>
        <v>8848.5</v>
      </c>
      <c r="AG45" s="57"/>
      <c r="AH45" s="57"/>
      <c r="AI45" s="57">
        <f>N45*0.2*19/18</f>
        <v>3736.0333333333338</v>
      </c>
      <c r="AJ45" s="58">
        <v>19</v>
      </c>
      <c r="AK45" s="61">
        <f t="shared" si="7"/>
        <v>37897.388124999998</v>
      </c>
      <c r="AL45" s="58"/>
      <c r="AM45" s="61"/>
      <c r="AN45" s="58"/>
      <c r="AO45" s="61"/>
      <c r="AP45" s="58">
        <v>19</v>
      </c>
      <c r="AQ45" s="61"/>
      <c r="AR45" s="61">
        <f>L45*0.4*AP45/18</f>
        <v>50529.850833333345</v>
      </c>
      <c r="AS45" s="61"/>
      <c r="AT45" s="61"/>
      <c r="AU45" s="61"/>
      <c r="AV45" s="61"/>
      <c r="AW45" s="61"/>
      <c r="AX45" s="61"/>
      <c r="AY45" s="61">
        <f t="shared" si="8"/>
        <v>12632.462708333336</v>
      </c>
      <c r="AZ45" s="61"/>
      <c r="BA45" s="71">
        <f t="array" ref="BA45">SUM(ROUND(AA45:AI45,0),ROUND(AK45:AK45,0),ROUND(AM45:AM45,0),ROUND(AO45:AO45,0),ROUND(AQ45:AZ45,0))</f>
        <v>247047</v>
      </c>
    </row>
    <row r="46" spans="1:53" s="20" customFormat="1" ht="12" thickBot="1" x14ac:dyDescent="0.25">
      <c r="A46" s="87"/>
      <c r="B46" s="86"/>
      <c r="C46" s="42" t="s">
        <v>97</v>
      </c>
      <c r="D46" s="43" t="s">
        <v>77</v>
      </c>
      <c r="E46" s="43" t="s">
        <v>83</v>
      </c>
      <c r="F46" s="42" t="s">
        <v>129</v>
      </c>
      <c r="G46" s="43" t="s">
        <v>84</v>
      </c>
      <c r="H46" s="44" t="s">
        <v>85</v>
      </c>
      <c r="I46" s="45">
        <v>5.41</v>
      </c>
      <c r="J46" s="46">
        <f t="shared" si="1"/>
        <v>95740.77</v>
      </c>
      <c r="K46" s="47">
        <v>1.25</v>
      </c>
      <c r="L46" s="46">
        <f t="shared" si="2"/>
        <v>119675.96250000001</v>
      </c>
      <c r="M46" s="48"/>
      <c r="N46" s="46">
        <v>17697</v>
      </c>
      <c r="O46" s="47">
        <v>2</v>
      </c>
      <c r="P46" s="47"/>
      <c r="Q46" s="47"/>
      <c r="R46" s="49">
        <f t="shared" si="4"/>
        <v>13297.329166666668</v>
      </c>
      <c r="S46" s="49" t="str">
        <f t="shared" si="5"/>
        <v/>
      </c>
      <c r="T46" s="49" t="str">
        <f t="shared" si="6"/>
        <v/>
      </c>
      <c r="U46" s="47"/>
      <c r="V46" s="46"/>
      <c r="W46" s="47"/>
      <c r="X46" s="46"/>
      <c r="Y46" s="47"/>
      <c r="Z46" s="46"/>
      <c r="AA46" s="49">
        <f t="shared" si="9"/>
        <v>13297.329166666668</v>
      </c>
      <c r="AB46" s="46"/>
      <c r="AC46" s="46"/>
      <c r="AD46" s="46"/>
      <c r="AE46" s="46"/>
      <c r="AF46" s="46"/>
      <c r="AG46" s="46"/>
      <c r="AH46" s="46"/>
      <c r="AI46" s="46">
        <f>N46*0.2*2/18</f>
        <v>393.26666666666665</v>
      </c>
      <c r="AJ46" s="47">
        <v>2</v>
      </c>
      <c r="AK46" s="50">
        <f t="shared" si="7"/>
        <v>3989.19875</v>
      </c>
      <c r="AL46" s="47"/>
      <c r="AM46" s="50"/>
      <c r="AN46" s="47"/>
      <c r="AO46" s="50"/>
      <c r="AP46" s="47">
        <v>2</v>
      </c>
      <c r="AQ46" s="50"/>
      <c r="AR46" s="50">
        <f>L46*0.4*AP46/18</f>
        <v>5318.9316666666673</v>
      </c>
      <c r="AS46" s="50"/>
      <c r="AT46" s="50"/>
      <c r="AU46" s="50"/>
      <c r="AV46" s="50"/>
      <c r="AW46" s="50"/>
      <c r="AX46" s="50"/>
      <c r="AY46" s="50">
        <f t="shared" si="8"/>
        <v>1329.7329166666668</v>
      </c>
      <c r="AZ46" s="50"/>
      <c r="BA46" s="71">
        <f t="array" ref="BA46">SUM(ROUND(AA46:AI46,0),ROUND(AK46:AK46,0),ROUND(AM46:AM46,0),ROUND(AO46:AO46,0),ROUND(AQ46:AZ46,0))</f>
        <v>24328</v>
      </c>
    </row>
    <row r="47" spans="1:53" s="20" customFormat="1" ht="12" thickBot="1" x14ac:dyDescent="0.25">
      <c r="A47" s="84">
        <v>17</v>
      </c>
      <c r="B47" s="82" t="s">
        <v>130</v>
      </c>
      <c r="C47" s="53" t="s">
        <v>95</v>
      </c>
      <c r="D47" s="54" t="s">
        <v>77</v>
      </c>
      <c r="E47" s="54" t="s">
        <v>78</v>
      </c>
      <c r="F47" s="53" t="s">
        <v>131</v>
      </c>
      <c r="G47" s="54" t="s">
        <v>84</v>
      </c>
      <c r="H47" s="55" t="s">
        <v>96</v>
      </c>
      <c r="I47" s="56">
        <v>4.67</v>
      </c>
      <c r="J47" s="57">
        <f t="shared" si="1"/>
        <v>82644.990000000005</v>
      </c>
      <c r="K47" s="58">
        <v>1.25</v>
      </c>
      <c r="L47" s="57">
        <f t="shared" si="2"/>
        <v>103306.2375</v>
      </c>
      <c r="M47" s="59"/>
      <c r="N47" s="57">
        <v>17697</v>
      </c>
      <c r="O47" s="58">
        <v>19</v>
      </c>
      <c r="P47" s="58"/>
      <c r="Q47" s="58"/>
      <c r="R47" s="60">
        <f t="shared" si="4"/>
        <v>109045.47291666667</v>
      </c>
      <c r="S47" s="60" t="str">
        <f t="shared" si="5"/>
        <v/>
      </c>
      <c r="T47" s="60" t="str">
        <f t="shared" si="6"/>
        <v/>
      </c>
      <c r="U47" s="58"/>
      <c r="V47" s="57">
        <f>N47*0.4</f>
        <v>7078.8</v>
      </c>
      <c r="W47" s="58"/>
      <c r="X47" s="57"/>
      <c r="Y47" s="58"/>
      <c r="Z47" s="57"/>
      <c r="AA47" s="60">
        <f t="shared" si="9"/>
        <v>116124.27291666667</v>
      </c>
      <c r="AB47" s="57"/>
      <c r="AC47" s="57"/>
      <c r="AD47" s="57"/>
      <c r="AE47" s="57"/>
      <c r="AF47" s="57">
        <f>N47*0.5</f>
        <v>8848.5</v>
      </c>
      <c r="AG47" s="57"/>
      <c r="AH47" s="57"/>
      <c r="AI47" s="57"/>
      <c r="AJ47" s="58">
        <v>19</v>
      </c>
      <c r="AK47" s="61">
        <f t="shared" si="7"/>
        <v>32713.641874999998</v>
      </c>
      <c r="AL47" s="58"/>
      <c r="AM47" s="61"/>
      <c r="AN47" s="58"/>
      <c r="AO47" s="61"/>
      <c r="AP47" s="58"/>
      <c r="AQ47" s="61"/>
      <c r="AR47" s="61"/>
      <c r="AS47" s="61"/>
      <c r="AT47" s="61"/>
      <c r="AU47" s="61"/>
      <c r="AV47" s="61"/>
      <c r="AW47" s="61"/>
      <c r="AX47" s="61"/>
      <c r="AY47" s="61">
        <f t="shared" si="8"/>
        <v>10904.547291666668</v>
      </c>
      <c r="AZ47" s="61"/>
      <c r="BA47" s="71">
        <f t="array" ref="BA47">SUM(ROUND(AA47:AI47,0),ROUND(AK47:AK47,0),ROUND(AM47:AM47,0),ROUND(AO47:AO47,0),ROUND(AQ47:AZ47,0))</f>
        <v>168592</v>
      </c>
    </row>
    <row r="48" spans="1:53" s="20" customFormat="1" ht="12" thickBot="1" x14ac:dyDescent="0.25">
      <c r="A48" s="87"/>
      <c r="B48" s="86"/>
      <c r="C48" s="42" t="s">
        <v>97</v>
      </c>
      <c r="D48" s="43" t="s">
        <v>77</v>
      </c>
      <c r="E48" s="43" t="s">
        <v>78</v>
      </c>
      <c r="F48" s="42" t="s">
        <v>131</v>
      </c>
      <c r="G48" s="43" t="s">
        <v>84</v>
      </c>
      <c r="H48" s="44" t="s">
        <v>96</v>
      </c>
      <c r="I48" s="45">
        <v>4.67</v>
      </c>
      <c r="J48" s="46">
        <f t="shared" si="1"/>
        <v>82644.990000000005</v>
      </c>
      <c r="K48" s="47">
        <v>1.25</v>
      </c>
      <c r="L48" s="46">
        <f t="shared" si="2"/>
        <v>103306.2375</v>
      </c>
      <c r="M48" s="48"/>
      <c r="N48" s="46">
        <v>17697</v>
      </c>
      <c r="O48" s="47">
        <v>2</v>
      </c>
      <c r="P48" s="47"/>
      <c r="Q48" s="47"/>
      <c r="R48" s="49">
        <f t="shared" si="4"/>
        <v>11478.470833333333</v>
      </c>
      <c r="S48" s="49" t="str">
        <f t="shared" si="5"/>
        <v/>
      </c>
      <c r="T48" s="49" t="str">
        <f t="shared" si="6"/>
        <v/>
      </c>
      <c r="U48" s="47"/>
      <c r="V48" s="46"/>
      <c r="W48" s="47"/>
      <c r="X48" s="46"/>
      <c r="Y48" s="47"/>
      <c r="Z48" s="46"/>
      <c r="AA48" s="49">
        <f t="shared" si="9"/>
        <v>11478.470833333333</v>
      </c>
      <c r="AB48" s="46"/>
      <c r="AC48" s="46"/>
      <c r="AD48" s="46"/>
      <c r="AE48" s="46"/>
      <c r="AF48" s="46"/>
      <c r="AG48" s="46"/>
      <c r="AH48" s="46"/>
      <c r="AI48" s="46"/>
      <c r="AJ48" s="47">
        <v>2</v>
      </c>
      <c r="AK48" s="50">
        <f t="shared" si="7"/>
        <v>3443.5412500000002</v>
      </c>
      <c r="AL48" s="47"/>
      <c r="AM48" s="50"/>
      <c r="AN48" s="47"/>
      <c r="AO48" s="50"/>
      <c r="AP48" s="47"/>
      <c r="AQ48" s="50"/>
      <c r="AR48" s="50"/>
      <c r="AS48" s="50"/>
      <c r="AT48" s="50"/>
      <c r="AU48" s="50"/>
      <c r="AV48" s="50"/>
      <c r="AW48" s="50"/>
      <c r="AX48" s="50"/>
      <c r="AY48" s="50">
        <f t="shared" si="8"/>
        <v>1147.8470833333333</v>
      </c>
      <c r="AZ48" s="50"/>
      <c r="BA48" s="71">
        <f t="array" ref="BA48">SUM(ROUND(AA48:AI48,0),ROUND(AK48:AK48,0),ROUND(AM48:AM48,0),ROUND(AO48:AO48,0),ROUND(AQ48:AZ48,0))</f>
        <v>16070</v>
      </c>
    </row>
    <row r="49" spans="1:53" s="20" customFormat="1" ht="12" thickBot="1" x14ac:dyDescent="0.25">
      <c r="A49" s="72">
        <v>18</v>
      </c>
      <c r="B49" s="73" t="s">
        <v>132</v>
      </c>
      <c r="C49" s="73" t="s">
        <v>95</v>
      </c>
      <c r="D49" s="74" t="s">
        <v>77</v>
      </c>
      <c r="E49" s="74" t="s">
        <v>78</v>
      </c>
      <c r="F49" s="73" t="s">
        <v>133</v>
      </c>
      <c r="G49" s="74" t="s">
        <v>84</v>
      </c>
      <c r="H49" s="75" t="s">
        <v>96</v>
      </c>
      <c r="I49" s="76">
        <v>4.2300000000000004</v>
      </c>
      <c r="J49" s="77">
        <f t="shared" si="1"/>
        <v>74858.310000000012</v>
      </c>
      <c r="K49" s="78">
        <v>1.25</v>
      </c>
      <c r="L49" s="77">
        <f t="shared" si="2"/>
        <v>93572.887500000012</v>
      </c>
      <c r="M49" s="79"/>
      <c r="N49" s="77">
        <v>17697</v>
      </c>
      <c r="O49" s="78">
        <v>19</v>
      </c>
      <c r="P49" s="78"/>
      <c r="Q49" s="78"/>
      <c r="R49" s="80">
        <f t="shared" si="4"/>
        <v>98771.381250000006</v>
      </c>
      <c r="S49" s="80" t="str">
        <f t="shared" si="5"/>
        <v/>
      </c>
      <c r="T49" s="80" t="str">
        <f t="shared" si="6"/>
        <v/>
      </c>
      <c r="U49" s="78"/>
      <c r="V49" s="77">
        <f>N49*0.4</f>
        <v>7078.8</v>
      </c>
      <c r="W49" s="78"/>
      <c r="X49" s="77"/>
      <c r="Y49" s="78"/>
      <c r="Z49" s="77"/>
      <c r="AA49" s="80">
        <f t="shared" si="9"/>
        <v>105850.18125000001</v>
      </c>
      <c r="AB49" s="77"/>
      <c r="AC49" s="77"/>
      <c r="AD49" s="77"/>
      <c r="AE49" s="77"/>
      <c r="AF49" s="77">
        <f>N49*0.5</f>
        <v>8848.5</v>
      </c>
      <c r="AG49" s="77"/>
      <c r="AH49" s="77"/>
      <c r="AI49" s="77">
        <f>N49*0.2*19/18</f>
        <v>3736.0333333333338</v>
      </c>
      <c r="AJ49" s="78">
        <v>19</v>
      </c>
      <c r="AK49" s="81">
        <f t="shared" si="7"/>
        <v>29631.414375000008</v>
      </c>
      <c r="AL49" s="78"/>
      <c r="AM49" s="81"/>
      <c r="AN49" s="78"/>
      <c r="AO49" s="81"/>
      <c r="AP49" s="78"/>
      <c r="AQ49" s="81"/>
      <c r="AR49" s="81"/>
      <c r="AS49" s="81"/>
      <c r="AT49" s="81"/>
      <c r="AU49" s="81"/>
      <c r="AV49" s="81"/>
      <c r="AW49" s="81"/>
      <c r="AX49" s="81"/>
      <c r="AY49" s="81">
        <f t="shared" si="8"/>
        <v>9877.1381250000013</v>
      </c>
      <c r="AZ49" s="81"/>
      <c r="BA49" s="71">
        <f t="array" ref="BA49">SUM(ROUND(AA49:AI49,0),ROUND(AK49:AK49,0),ROUND(AM49:AM49,0),ROUND(AO49:AO49,0),ROUND(AQ49:AZ49,0))</f>
        <v>157943</v>
      </c>
    </row>
    <row r="50" spans="1:53" s="20" customFormat="1" ht="12" thickBot="1" x14ac:dyDescent="0.25">
      <c r="A50" s="84">
        <v>19</v>
      </c>
      <c r="B50" s="82" t="s">
        <v>134</v>
      </c>
      <c r="C50" s="53" t="s">
        <v>95</v>
      </c>
      <c r="D50" s="54" t="s">
        <v>77</v>
      </c>
      <c r="E50" s="54" t="s">
        <v>83</v>
      </c>
      <c r="F50" s="53" t="s">
        <v>135</v>
      </c>
      <c r="G50" s="54" t="s">
        <v>84</v>
      </c>
      <c r="H50" s="55" t="s">
        <v>85</v>
      </c>
      <c r="I50" s="56">
        <v>5.41</v>
      </c>
      <c r="J50" s="57">
        <f t="shared" si="1"/>
        <v>95740.77</v>
      </c>
      <c r="K50" s="58">
        <v>1.25</v>
      </c>
      <c r="L50" s="57">
        <f t="shared" si="2"/>
        <v>119675.96250000001</v>
      </c>
      <c r="M50" s="59"/>
      <c r="N50" s="57">
        <v>17697</v>
      </c>
      <c r="O50" s="58">
        <v>25</v>
      </c>
      <c r="P50" s="58"/>
      <c r="Q50" s="58"/>
      <c r="R50" s="60">
        <f t="shared" si="4"/>
        <v>166216.61458333334</v>
      </c>
      <c r="S50" s="60" t="str">
        <f t="shared" si="5"/>
        <v/>
      </c>
      <c r="T50" s="60" t="str">
        <f t="shared" si="6"/>
        <v/>
      </c>
      <c r="U50" s="58"/>
      <c r="V50" s="57">
        <f>N50*0.4</f>
        <v>7078.8</v>
      </c>
      <c r="W50" s="58"/>
      <c r="X50" s="57"/>
      <c r="Y50" s="58"/>
      <c r="Z50" s="57"/>
      <c r="AA50" s="60">
        <f t="shared" si="9"/>
        <v>173295.41458333333</v>
      </c>
      <c r="AB50" s="57"/>
      <c r="AC50" s="57"/>
      <c r="AD50" s="57"/>
      <c r="AE50" s="57"/>
      <c r="AF50" s="57">
        <f>N50*0.5</f>
        <v>8848.5</v>
      </c>
      <c r="AG50" s="57"/>
      <c r="AH50" s="57"/>
      <c r="AI50" s="57"/>
      <c r="AJ50" s="58">
        <v>25</v>
      </c>
      <c r="AK50" s="61">
        <f t="shared" si="7"/>
        <v>49864.984375</v>
      </c>
      <c r="AL50" s="58"/>
      <c r="AM50" s="61"/>
      <c r="AN50" s="58"/>
      <c r="AO50" s="61"/>
      <c r="AP50" s="58">
        <v>25</v>
      </c>
      <c r="AQ50" s="61"/>
      <c r="AR50" s="61">
        <f>L50*0.4*AP50/18</f>
        <v>66486.645833333343</v>
      </c>
      <c r="AS50" s="61"/>
      <c r="AT50" s="61"/>
      <c r="AU50" s="61"/>
      <c r="AV50" s="61"/>
      <c r="AW50" s="61"/>
      <c r="AX50" s="61"/>
      <c r="AY50" s="61">
        <f t="shared" si="8"/>
        <v>16621.661458333336</v>
      </c>
      <c r="AZ50" s="61"/>
      <c r="BA50" s="71">
        <f t="array" ref="BA50">SUM(ROUND(AA50:AI50,0),ROUND(AK50:AK50,0),ROUND(AM50:AM50,0),ROUND(AO50:AO50,0),ROUND(AQ50:AZ50,0))</f>
        <v>315118</v>
      </c>
    </row>
    <row r="51" spans="1:53" s="20" customFormat="1" ht="12" thickBot="1" x14ac:dyDescent="0.25">
      <c r="A51" s="87"/>
      <c r="B51" s="86"/>
      <c r="C51" s="42" t="s">
        <v>97</v>
      </c>
      <c r="D51" s="43" t="s">
        <v>77</v>
      </c>
      <c r="E51" s="43" t="s">
        <v>83</v>
      </c>
      <c r="F51" s="42" t="s">
        <v>135</v>
      </c>
      <c r="G51" s="43" t="s">
        <v>84</v>
      </c>
      <c r="H51" s="44" t="s">
        <v>85</v>
      </c>
      <c r="I51" s="45">
        <v>5.41</v>
      </c>
      <c r="J51" s="46">
        <f t="shared" si="1"/>
        <v>95740.77</v>
      </c>
      <c r="K51" s="47">
        <v>1.25</v>
      </c>
      <c r="L51" s="46">
        <f t="shared" si="2"/>
        <v>119675.96250000001</v>
      </c>
      <c r="M51" s="48"/>
      <c r="N51" s="46">
        <v>17697</v>
      </c>
      <c r="O51" s="47">
        <v>2</v>
      </c>
      <c r="P51" s="47"/>
      <c r="Q51" s="47"/>
      <c r="R51" s="49">
        <f t="shared" si="4"/>
        <v>13297.329166666668</v>
      </c>
      <c r="S51" s="49" t="str">
        <f t="shared" si="5"/>
        <v/>
      </c>
      <c r="T51" s="49" t="str">
        <f t="shared" si="6"/>
        <v/>
      </c>
      <c r="U51" s="47"/>
      <c r="V51" s="46"/>
      <c r="W51" s="47"/>
      <c r="X51" s="46"/>
      <c r="Y51" s="47"/>
      <c r="Z51" s="46"/>
      <c r="AA51" s="49">
        <f t="shared" si="9"/>
        <v>13297.329166666668</v>
      </c>
      <c r="AB51" s="46"/>
      <c r="AC51" s="46"/>
      <c r="AD51" s="46"/>
      <c r="AE51" s="46"/>
      <c r="AF51" s="46"/>
      <c r="AG51" s="46"/>
      <c r="AH51" s="46"/>
      <c r="AI51" s="46"/>
      <c r="AJ51" s="47">
        <v>2</v>
      </c>
      <c r="AK51" s="50">
        <f t="shared" si="7"/>
        <v>3989.19875</v>
      </c>
      <c r="AL51" s="47"/>
      <c r="AM51" s="50"/>
      <c r="AN51" s="47"/>
      <c r="AO51" s="50"/>
      <c r="AP51" s="47">
        <v>2</v>
      </c>
      <c r="AQ51" s="50"/>
      <c r="AR51" s="50">
        <f>L51*0.4*AP51/18</f>
        <v>5318.9316666666673</v>
      </c>
      <c r="AS51" s="50"/>
      <c r="AT51" s="50"/>
      <c r="AU51" s="50"/>
      <c r="AV51" s="50"/>
      <c r="AW51" s="50"/>
      <c r="AX51" s="50"/>
      <c r="AY51" s="50">
        <f t="shared" si="8"/>
        <v>1329.7329166666668</v>
      </c>
      <c r="AZ51" s="50"/>
      <c r="BA51" s="71">
        <f t="array" ref="BA51">SUM(ROUND(AA51:AI51,0),ROUND(AK51:AK51,0),ROUND(AM51:AM51,0),ROUND(AO51:AO51,0),ROUND(AQ51:AZ51,0))</f>
        <v>23935</v>
      </c>
    </row>
    <row r="52" spans="1:53" s="20" customFormat="1" ht="12" thickBot="1" x14ac:dyDescent="0.25">
      <c r="A52" s="84">
        <v>20</v>
      </c>
      <c r="B52" s="82" t="s">
        <v>136</v>
      </c>
      <c r="C52" s="53" t="s">
        <v>95</v>
      </c>
      <c r="D52" s="54" t="s">
        <v>137</v>
      </c>
      <c r="E52" s="54" t="s">
        <v>78</v>
      </c>
      <c r="F52" s="53" t="s">
        <v>138</v>
      </c>
      <c r="G52" s="54" t="s">
        <v>139</v>
      </c>
      <c r="H52" s="55" t="s">
        <v>96</v>
      </c>
      <c r="I52" s="56">
        <v>3.41</v>
      </c>
      <c r="J52" s="57">
        <f t="shared" si="1"/>
        <v>60346.770000000004</v>
      </c>
      <c r="K52" s="58">
        <v>1.25</v>
      </c>
      <c r="L52" s="57">
        <f t="shared" si="2"/>
        <v>75433.462500000009</v>
      </c>
      <c r="M52" s="59"/>
      <c r="N52" s="57">
        <v>17697</v>
      </c>
      <c r="O52" s="58">
        <v>22</v>
      </c>
      <c r="P52" s="58"/>
      <c r="Q52" s="58"/>
      <c r="R52" s="60">
        <f t="shared" si="4"/>
        <v>92196.454166666677</v>
      </c>
      <c r="S52" s="60" t="str">
        <f t="shared" si="5"/>
        <v/>
      </c>
      <c r="T52" s="60" t="str">
        <f t="shared" si="6"/>
        <v/>
      </c>
      <c r="U52" s="58"/>
      <c r="V52" s="57">
        <f>N52*0.4</f>
        <v>7078.8</v>
      </c>
      <c r="W52" s="58"/>
      <c r="X52" s="57"/>
      <c r="Y52" s="58"/>
      <c r="Z52" s="57"/>
      <c r="AA52" s="60">
        <f t="shared" si="9"/>
        <v>99275.25416666668</v>
      </c>
      <c r="AB52" s="57"/>
      <c r="AC52" s="57"/>
      <c r="AD52" s="57"/>
      <c r="AE52" s="57"/>
      <c r="AF52" s="57">
        <f>N52*0.5</f>
        <v>8848.5</v>
      </c>
      <c r="AG52" s="57"/>
      <c r="AH52" s="57"/>
      <c r="AI52" s="57"/>
      <c r="AJ52" s="58">
        <v>22</v>
      </c>
      <c r="AK52" s="61">
        <f t="shared" si="7"/>
        <v>27658.936250000006</v>
      </c>
      <c r="AL52" s="58"/>
      <c r="AM52" s="61"/>
      <c r="AN52" s="58"/>
      <c r="AO52" s="61"/>
      <c r="AP52" s="58"/>
      <c r="AQ52" s="61"/>
      <c r="AR52" s="61"/>
      <c r="AS52" s="61"/>
      <c r="AT52" s="61"/>
      <c r="AU52" s="61"/>
      <c r="AV52" s="61"/>
      <c r="AW52" s="61"/>
      <c r="AX52" s="61"/>
      <c r="AY52" s="61">
        <f t="shared" si="8"/>
        <v>9219.6454166666681</v>
      </c>
      <c r="AZ52" s="61"/>
      <c r="BA52" s="71">
        <f t="array" ref="BA52">SUM(ROUND(AA52:AI52,0),ROUND(AK52:AK52,0),ROUND(AM52:AM52,0),ROUND(AO52:AO52,0),ROUND(AQ52:AZ52,0))</f>
        <v>145003</v>
      </c>
    </row>
    <row r="53" spans="1:53" s="20" customFormat="1" ht="12" thickBot="1" x14ac:dyDescent="0.25">
      <c r="A53" s="87"/>
      <c r="B53" s="86"/>
      <c r="C53" s="42" t="s">
        <v>97</v>
      </c>
      <c r="D53" s="43" t="s">
        <v>137</v>
      </c>
      <c r="E53" s="43" t="s">
        <v>78</v>
      </c>
      <c r="F53" s="42" t="s">
        <v>138</v>
      </c>
      <c r="G53" s="43" t="s">
        <v>139</v>
      </c>
      <c r="H53" s="44" t="s">
        <v>96</v>
      </c>
      <c r="I53" s="45">
        <v>3.41</v>
      </c>
      <c r="J53" s="46">
        <f t="shared" si="1"/>
        <v>60346.770000000004</v>
      </c>
      <c r="K53" s="47">
        <v>1.25</v>
      </c>
      <c r="L53" s="46">
        <f t="shared" si="2"/>
        <v>75433.462500000009</v>
      </c>
      <c r="M53" s="48"/>
      <c r="N53" s="46">
        <v>17697</v>
      </c>
      <c r="O53" s="47">
        <v>2</v>
      </c>
      <c r="P53" s="47"/>
      <c r="Q53" s="47"/>
      <c r="R53" s="49">
        <f t="shared" si="4"/>
        <v>8381.4958333333343</v>
      </c>
      <c r="S53" s="49" t="str">
        <f t="shared" si="5"/>
        <v/>
      </c>
      <c r="T53" s="49" t="str">
        <f t="shared" si="6"/>
        <v/>
      </c>
      <c r="U53" s="47"/>
      <c r="V53" s="46"/>
      <c r="W53" s="47"/>
      <c r="X53" s="46"/>
      <c r="Y53" s="47"/>
      <c r="Z53" s="46"/>
      <c r="AA53" s="49">
        <f t="shared" si="9"/>
        <v>8381.4958333333343</v>
      </c>
      <c r="AB53" s="46"/>
      <c r="AC53" s="46"/>
      <c r="AD53" s="46"/>
      <c r="AE53" s="46"/>
      <c r="AF53" s="46"/>
      <c r="AG53" s="46"/>
      <c r="AH53" s="46"/>
      <c r="AI53" s="46"/>
      <c r="AJ53" s="47">
        <v>2</v>
      </c>
      <c r="AK53" s="50">
        <f t="shared" si="7"/>
        <v>2514.4487500000005</v>
      </c>
      <c r="AL53" s="47"/>
      <c r="AM53" s="50"/>
      <c r="AN53" s="47"/>
      <c r="AO53" s="50"/>
      <c r="AP53" s="47"/>
      <c r="AQ53" s="50"/>
      <c r="AR53" s="50"/>
      <c r="AS53" s="50"/>
      <c r="AT53" s="50"/>
      <c r="AU53" s="50"/>
      <c r="AV53" s="50"/>
      <c r="AW53" s="50"/>
      <c r="AX53" s="50"/>
      <c r="AY53" s="50">
        <f t="shared" si="8"/>
        <v>838.14958333333345</v>
      </c>
      <c r="AZ53" s="50"/>
      <c r="BA53" s="71">
        <f t="array" ref="BA53">SUM(ROUND(AA53:AI53,0),ROUND(AK53:AK53,0),ROUND(AM53:AM53,0),ROUND(AO53:AO53,0),ROUND(AQ53:AZ53,0))</f>
        <v>11733</v>
      </c>
    </row>
    <row r="54" spans="1:53" s="20" customFormat="1" ht="12" thickBot="1" x14ac:dyDescent="0.25">
      <c r="A54" s="84">
        <v>21</v>
      </c>
      <c r="B54" s="82" t="s">
        <v>140</v>
      </c>
      <c r="C54" s="53" t="s">
        <v>95</v>
      </c>
      <c r="D54" s="54" t="s">
        <v>137</v>
      </c>
      <c r="E54" s="54">
        <v>1</v>
      </c>
      <c r="F54" s="53" t="s">
        <v>141</v>
      </c>
      <c r="G54" s="54" t="s">
        <v>139</v>
      </c>
      <c r="H54" s="55" t="s">
        <v>91</v>
      </c>
      <c r="I54" s="56">
        <v>4.32</v>
      </c>
      <c r="J54" s="57">
        <f t="shared" si="1"/>
        <v>76451.040000000008</v>
      </c>
      <c r="K54" s="58">
        <v>1.25</v>
      </c>
      <c r="L54" s="57">
        <f t="shared" si="2"/>
        <v>95563.800000000017</v>
      </c>
      <c r="M54" s="59"/>
      <c r="N54" s="57">
        <v>17697</v>
      </c>
      <c r="O54" s="58">
        <v>15</v>
      </c>
      <c r="P54" s="58"/>
      <c r="Q54" s="58"/>
      <c r="R54" s="60">
        <f t="shared" si="4"/>
        <v>79636.500000000015</v>
      </c>
      <c r="S54" s="60" t="str">
        <f t="shared" si="5"/>
        <v/>
      </c>
      <c r="T54" s="60" t="str">
        <f t="shared" si="6"/>
        <v/>
      </c>
      <c r="U54" s="58"/>
      <c r="V54" s="57">
        <f>N54*0.4</f>
        <v>7078.8</v>
      </c>
      <c r="W54" s="58"/>
      <c r="X54" s="57"/>
      <c r="Y54" s="58"/>
      <c r="Z54" s="57"/>
      <c r="AA54" s="60">
        <f t="shared" si="9"/>
        <v>86715.300000000017</v>
      </c>
      <c r="AB54" s="57"/>
      <c r="AC54" s="57"/>
      <c r="AD54" s="57"/>
      <c r="AE54" s="57"/>
      <c r="AF54" s="57">
        <f>N54*0.5</f>
        <v>8848.5</v>
      </c>
      <c r="AG54" s="57"/>
      <c r="AH54" s="57"/>
      <c r="AI54" s="57"/>
      <c r="AJ54" s="58">
        <v>15</v>
      </c>
      <c r="AK54" s="61">
        <f t="shared" si="7"/>
        <v>23890.95</v>
      </c>
      <c r="AL54" s="58"/>
      <c r="AM54" s="61"/>
      <c r="AN54" s="58"/>
      <c r="AO54" s="61"/>
      <c r="AP54" s="58">
        <v>15</v>
      </c>
      <c r="AQ54" s="61"/>
      <c r="AR54" s="61"/>
      <c r="AS54" s="61">
        <f>L54*0.35*AP54/18</f>
        <v>27872.775000000001</v>
      </c>
      <c r="AT54" s="61"/>
      <c r="AU54" s="61"/>
      <c r="AV54" s="61"/>
      <c r="AW54" s="61"/>
      <c r="AX54" s="61"/>
      <c r="AY54" s="61">
        <f t="shared" si="8"/>
        <v>7963.6500000000024</v>
      </c>
      <c r="AZ54" s="61"/>
      <c r="BA54" s="71">
        <f t="array" ref="BA54">SUM(ROUND(AA54:AI54,0),ROUND(AK54:AK54,0),ROUND(AM54:AM54,0),ROUND(AO54:AO54,0),ROUND(AQ54:AZ54,0))</f>
        <v>155292</v>
      </c>
    </row>
    <row r="55" spans="1:53" s="20" customFormat="1" ht="12" thickBot="1" x14ac:dyDescent="0.25">
      <c r="A55" s="87"/>
      <c r="B55" s="86"/>
      <c r="C55" s="42" t="s">
        <v>95</v>
      </c>
      <c r="D55" s="43" t="s">
        <v>137</v>
      </c>
      <c r="E55" s="43">
        <v>1</v>
      </c>
      <c r="F55" s="42" t="s">
        <v>141</v>
      </c>
      <c r="G55" s="43" t="s">
        <v>139</v>
      </c>
      <c r="H55" s="44" t="s">
        <v>91</v>
      </c>
      <c r="I55" s="45">
        <v>4.32</v>
      </c>
      <c r="J55" s="46">
        <f t="shared" si="1"/>
        <v>76451.040000000008</v>
      </c>
      <c r="K55" s="47">
        <v>1.25</v>
      </c>
      <c r="L55" s="46">
        <f t="shared" si="2"/>
        <v>95563.800000000017</v>
      </c>
      <c r="M55" s="48"/>
      <c r="N55" s="46">
        <v>17697</v>
      </c>
      <c r="O55" s="47">
        <v>16</v>
      </c>
      <c r="P55" s="47"/>
      <c r="Q55" s="47"/>
      <c r="R55" s="49">
        <f t="shared" si="4"/>
        <v>84945.60000000002</v>
      </c>
      <c r="S55" s="49" t="str">
        <f t="shared" si="5"/>
        <v/>
      </c>
      <c r="T55" s="49" t="str">
        <f t="shared" si="6"/>
        <v/>
      </c>
      <c r="U55" s="47"/>
      <c r="V55" s="46">
        <f>N55*0.4</f>
        <v>7078.8</v>
      </c>
      <c r="W55" s="47"/>
      <c r="X55" s="46"/>
      <c r="Y55" s="47"/>
      <c r="Z55" s="46"/>
      <c r="AA55" s="49">
        <f t="shared" si="9"/>
        <v>92024.400000000023</v>
      </c>
      <c r="AB55" s="46"/>
      <c r="AC55" s="46"/>
      <c r="AD55" s="46"/>
      <c r="AE55" s="46"/>
      <c r="AF55" s="46">
        <f>N55*0.5</f>
        <v>8848.5</v>
      </c>
      <c r="AG55" s="46"/>
      <c r="AH55" s="46"/>
      <c r="AI55" s="46"/>
      <c r="AJ55" s="47">
        <v>16</v>
      </c>
      <c r="AK55" s="50">
        <f t="shared" si="7"/>
        <v>25483.680000000004</v>
      </c>
      <c r="AL55" s="47"/>
      <c r="AM55" s="50"/>
      <c r="AN55" s="47"/>
      <c r="AO55" s="50"/>
      <c r="AP55" s="47">
        <v>16</v>
      </c>
      <c r="AQ55" s="50"/>
      <c r="AR55" s="50"/>
      <c r="AS55" s="50">
        <f>L55*0.35*AP55/18</f>
        <v>29730.960000000003</v>
      </c>
      <c r="AT55" s="50"/>
      <c r="AU55" s="50"/>
      <c r="AV55" s="50"/>
      <c r="AW55" s="50"/>
      <c r="AX55" s="50"/>
      <c r="AY55" s="50">
        <f t="shared" si="8"/>
        <v>8494.5600000000031</v>
      </c>
      <c r="AZ55" s="50"/>
      <c r="BA55" s="71">
        <f t="array" ref="BA55">SUM(ROUND(AA55:AI55,0),ROUND(AK55:AK55,0),ROUND(AM55:AM55,0),ROUND(AO55:AO55,0),ROUND(AQ55:AZ55,0))</f>
        <v>164583</v>
      </c>
    </row>
    <row r="56" spans="1:53" s="20" customFormat="1" ht="12" thickBot="1" x14ac:dyDescent="0.25">
      <c r="A56" s="84">
        <v>22</v>
      </c>
      <c r="B56" s="82" t="s">
        <v>142</v>
      </c>
      <c r="C56" s="53" t="s">
        <v>95</v>
      </c>
      <c r="D56" s="54" t="s">
        <v>77</v>
      </c>
      <c r="E56" s="54" t="s">
        <v>83</v>
      </c>
      <c r="F56" s="53" t="s">
        <v>143</v>
      </c>
      <c r="G56" s="54" t="s">
        <v>84</v>
      </c>
      <c r="H56" s="55" t="s">
        <v>85</v>
      </c>
      <c r="I56" s="56">
        <v>5.41</v>
      </c>
      <c r="J56" s="57">
        <f t="shared" si="1"/>
        <v>95740.77</v>
      </c>
      <c r="K56" s="58">
        <v>1.25</v>
      </c>
      <c r="L56" s="57">
        <f t="shared" si="2"/>
        <v>119675.96250000001</v>
      </c>
      <c r="M56" s="59"/>
      <c r="N56" s="57">
        <v>17697</v>
      </c>
      <c r="O56" s="58">
        <v>15</v>
      </c>
      <c r="P56" s="58"/>
      <c r="Q56" s="58"/>
      <c r="R56" s="60">
        <f t="shared" si="4"/>
        <v>99729.968750000015</v>
      </c>
      <c r="S56" s="60" t="str">
        <f t="shared" si="5"/>
        <v/>
      </c>
      <c r="T56" s="60" t="str">
        <f t="shared" si="6"/>
        <v/>
      </c>
      <c r="U56" s="58"/>
      <c r="V56" s="57">
        <f>N56*0.4</f>
        <v>7078.8</v>
      </c>
      <c r="W56" s="58"/>
      <c r="X56" s="57"/>
      <c r="Y56" s="58"/>
      <c r="Z56" s="57"/>
      <c r="AA56" s="60">
        <f t="shared" si="9"/>
        <v>106808.76875000002</v>
      </c>
      <c r="AB56" s="57"/>
      <c r="AC56" s="57"/>
      <c r="AD56" s="57"/>
      <c r="AE56" s="57"/>
      <c r="AF56" s="57">
        <f>N56*0.5</f>
        <v>8848.5</v>
      </c>
      <c r="AG56" s="57"/>
      <c r="AH56" s="57"/>
      <c r="AI56" s="57"/>
      <c r="AJ56" s="58">
        <v>15</v>
      </c>
      <c r="AK56" s="61">
        <f t="shared" si="7"/>
        <v>29918.990625000002</v>
      </c>
      <c r="AL56" s="58"/>
      <c r="AM56" s="61"/>
      <c r="AN56" s="58"/>
      <c r="AO56" s="61"/>
      <c r="AP56" s="58">
        <v>15</v>
      </c>
      <c r="AQ56" s="61"/>
      <c r="AR56" s="61">
        <f t="shared" ref="AR56:AR61" si="10">L56*0.4*AP56/18</f>
        <v>39891.98750000001</v>
      </c>
      <c r="AS56" s="61"/>
      <c r="AT56" s="61"/>
      <c r="AU56" s="61"/>
      <c r="AV56" s="61"/>
      <c r="AW56" s="61"/>
      <c r="AX56" s="61"/>
      <c r="AY56" s="61">
        <f t="shared" si="8"/>
        <v>9972.9968750000025</v>
      </c>
      <c r="AZ56" s="61"/>
      <c r="BA56" s="71">
        <f t="array" ref="BA56">SUM(ROUND(AA56:AI56,0),ROUND(AK56:AK56,0),ROUND(AM56:AM56,0),ROUND(AO56:AO56,0),ROUND(AQ56:AZ56,0))</f>
        <v>195442</v>
      </c>
    </row>
    <row r="57" spans="1:53" s="20" customFormat="1" ht="12" thickBot="1" x14ac:dyDescent="0.25">
      <c r="A57" s="87"/>
      <c r="B57" s="86"/>
      <c r="C57" s="26" t="s">
        <v>95</v>
      </c>
      <c r="D57" s="27" t="s">
        <v>77</v>
      </c>
      <c r="E57" s="27" t="s">
        <v>83</v>
      </c>
      <c r="F57" s="26" t="s">
        <v>143</v>
      </c>
      <c r="G57" s="27" t="s">
        <v>84</v>
      </c>
      <c r="H57" s="28" t="s">
        <v>85</v>
      </c>
      <c r="I57" s="29">
        <v>5.41</v>
      </c>
      <c r="J57" s="30">
        <f t="shared" si="1"/>
        <v>95740.77</v>
      </c>
      <c r="K57" s="31">
        <v>1.25</v>
      </c>
      <c r="L57" s="30">
        <f t="shared" si="2"/>
        <v>119675.96250000001</v>
      </c>
      <c r="M57" s="32"/>
      <c r="N57" s="30">
        <v>17697</v>
      </c>
      <c r="O57" s="31">
        <v>15</v>
      </c>
      <c r="P57" s="31"/>
      <c r="Q57" s="31"/>
      <c r="R57" s="33">
        <f t="shared" si="4"/>
        <v>99729.968750000015</v>
      </c>
      <c r="S57" s="33" t="str">
        <f t="shared" si="5"/>
        <v/>
      </c>
      <c r="T57" s="33" t="str">
        <f t="shared" si="6"/>
        <v/>
      </c>
      <c r="U57" s="31"/>
      <c r="V57" s="30">
        <f>N57*0.4</f>
        <v>7078.8</v>
      </c>
      <c r="W57" s="31"/>
      <c r="X57" s="30"/>
      <c r="Y57" s="31"/>
      <c r="Z57" s="30"/>
      <c r="AA57" s="33">
        <f t="shared" si="9"/>
        <v>106808.76875000002</v>
      </c>
      <c r="AB57" s="30"/>
      <c r="AC57" s="30"/>
      <c r="AD57" s="30"/>
      <c r="AE57" s="30"/>
      <c r="AF57" s="30">
        <f>N57*0.5</f>
        <v>8848.5</v>
      </c>
      <c r="AG57" s="30"/>
      <c r="AH57" s="30"/>
      <c r="AI57" s="30"/>
      <c r="AJ57" s="31">
        <v>15</v>
      </c>
      <c r="AK57" s="34">
        <f t="shared" si="7"/>
        <v>29918.990625000002</v>
      </c>
      <c r="AL57" s="31"/>
      <c r="AM57" s="34"/>
      <c r="AN57" s="31"/>
      <c r="AO57" s="34"/>
      <c r="AP57" s="31">
        <v>15</v>
      </c>
      <c r="AQ57" s="34"/>
      <c r="AR57" s="34">
        <f t="shared" si="10"/>
        <v>39891.98750000001</v>
      </c>
      <c r="AS57" s="34"/>
      <c r="AT57" s="34"/>
      <c r="AU57" s="34"/>
      <c r="AV57" s="34"/>
      <c r="AW57" s="34"/>
      <c r="AX57" s="34"/>
      <c r="AY57" s="34">
        <f t="shared" si="8"/>
        <v>9972.9968750000025</v>
      </c>
      <c r="AZ57" s="34"/>
      <c r="BA57" s="71">
        <f t="array" ref="BA57">SUM(ROUND(AA57:AI57,0),ROUND(AK57:AK57,0),ROUND(AM57:AM57,0),ROUND(AO57:AO57,0),ROUND(AQ57:AZ57,0))</f>
        <v>195442</v>
      </c>
    </row>
    <row r="58" spans="1:53" s="20" customFormat="1" ht="12" thickBot="1" x14ac:dyDescent="0.25">
      <c r="A58" s="87"/>
      <c r="B58" s="86"/>
      <c r="C58" s="42" t="s">
        <v>97</v>
      </c>
      <c r="D58" s="43" t="s">
        <v>77</v>
      </c>
      <c r="E58" s="43" t="s">
        <v>83</v>
      </c>
      <c r="F58" s="42" t="s">
        <v>143</v>
      </c>
      <c r="G58" s="43" t="s">
        <v>84</v>
      </c>
      <c r="H58" s="44" t="s">
        <v>85</v>
      </c>
      <c r="I58" s="45">
        <v>5.41</v>
      </c>
      <c r="J58" s="46">
        <f t="shared" si="1"/>
        <v>95740.77</v>
      </c>
      <c r="K58" s="47">
        <v>1.25</v>
      </c>
      <c r="L58" s="46">
        <f t="shared" si="2"/>
        <v>119675.96250000001</v>
      </c>
      <c r="M58" s="48"/>
      <c r="N58" s="46">
        <v>17697</v>
      </c>
      <c r="O58" s="47">
        <v>4</v>
      </c>
      <c r="P58" s="47"/>
      <c r="Q58" s="47"/>
      <c r="R58" s="49">
        <f t="shared" ref="R58:R89" si="11">IF(O58&gt;0,$L58/18*O58,"")</f>
        <v>26594.658333333336</v>
      </c>
      <c r="S58" s="49" t="str">
        <f t="shared" ref="S58:S89" si="12">IF(P58&gt;0,$L58/18*P58,"")</f>
        <v/>
      </c>
      <c r="T58" s="49" t="str">
        <f t="shared" ref="T58:T89" si="13">IF(Q58&gt;0,$L58/18*Q58,"")</f>
        <v/>
      </c>
      <c r="U58" s="47"/>
      <c r="V58" s="46"/>
      <c r="W58" s="47"/>
      <c r="X58" s="46"/>
      <c r="Y58" s="47"/>
      <c r="Z58" s="46"/>
      <c r="AA58" s="49">
        <f t="shared" si="9"/>
        <v>26594.658333333336</v>
      </c>
      <c r="AB58" s="46"/>
      <c r="AC58" s="46"/>
      <c r="AD58" s="46"/>
      <c r="AE58" s="46"/>
      <c r="AF58" s="46"/>
      <c r="AG58" s="46"/>
      <c r="AH58" s="46"/>
      <c r="AI58" s="46"/>
      <c r="AJ58" s="47">
        <v>4</v>
      </c>
      <c r="AK58" s="50">
        <f t="shared" si="7"/>
        <v>7978.3975</v>
      </c>
      <c r="AL58" s="47"/>
      <c r="AM58" s="50"/>
      <c r="AN58" s="47"/>
      <c r="AO58" s="50"/>
      <c r="AP58" s="47">
        <v>4</v>
      </c>
      <c r="AQ58" s="50"/>
      <c r="AR58" s="50">
        <f t="shared" si="10"/>
        <v>10637.863333333335</v>
      </c>
      <c r="AS58" s="50"/>
      <c r="AT58" s="50"/>
      <c r="AU58" s="50"/>
      <c r="AV58" s="50"/>
      <c r="AW58" s="50"/>
      <c r="AX58" s="50"/>
      <c r="AY58" s="50">
        <f t="shared" ref="AY58:AY89" si="14">L58*0.1*SUM(O58:Q58)/18</f>
        <v>2659.4658333333336</v>
      </c>
      <c r="AZ58" s="50"/>
      <c r="BA58" s="71">
        <f t="array" ref="BA58">SUM(ROUND(AA58:AI58,0),ROUND(AK58:AK58,0),ROUND(AM58:AM58,0),ROUND(AO58:AO58,0),ROUND(AQ58:AZ58,0))</f>
        <v>47870</v>
      </c>
    </row>
    <row r="59" spans="1:53" s="20" customFormat="1" ht="12" thickBot="1" x14ac:dyDescent="0.25">
      <c r="A59" s="72">
        <v>23</v>
      </c>
      <c r="B59" s="73" t="s">
        <v>144</v>
      </c>
      <c r="C59" s="73" t="s">
        <v>100</v>
      </c>
      <c r="D59" s="74" t="s">
        <v>77</v>
      </c>
      <c r="E59" s="74" t="s">
        <v>83</v>
      </c>
      <c r="F59" s="73" t="s">
        <v>145</v>
      </c>
      <c r="G59" s="74" t="s">
        <v>84</v>
      </c>
      <c r="H59" s="75" t="s">
        <v>85</v>
      </c>
      <c r="I59" s="76">
        <v>5.41</v>
      </c>
      <c r="J59" s="77">
        <f t="shared" si="1"/>
        <v>95740.77</v>
      </c>
      <c r="K59" s="78">
        <v>1.25</v>
      </c>
      <c r="L59" s="77">
        <f t="shared" si="2"/>
        <v>119675.96250000001</v>
      </c>
      <c r="M59" s="79"/>
      <c r="N59" s="77">
        <v>17697</v>
      </c>
      <c r="O59" s="78"/>
      <c r="P59" s="78"/>
      <c r="Q59" s="78">
        <v>19</v>
      </c>
      <c r="R59" s="80" t="str">
        <f t="shared" si="11"/>
        <v/>
      </c>
      <c r="S59" s="80" t="str">
        <f t="shared" si="12"/>
        <v/>
      </c>
      <c r="T59" s="80">
        <f t="shared" si="13"/>
        <v>126324.62708333335</v>
      </c>
      <c r="U59" s="78"/>
      <c r="V59" s="77"/>
      <c r="W59" s="78"/>
      <c r="X59" s="77"/>
      <c r="Y59" s="78">
        <v>12</v>
      </c>
      <c r="Z59" s="77">
        <f>N59*0.4/18*Y59</f>
        <v>4719.2</v>
      </c>
      <c r="AA59" s="80">
        <f t="shared" si="9"/>
        <v>131043.82708333335</v>
      </c>
      <c r="AB59" s="77"/>
      <c r="AC59" s="77"/>
      <c r="AD59" s="77"/>
      <c r="AE59" s="77"/>
      <c r="AF59" s="77">
        <f>N59*0.6</f>
        <v>10618.199999999999</v>
      </c>
      <c r="AG59" s="77"/>
      <c r="AH59" s="77"/>
      <c r="AI59" s="77">
        <f>N59*0.2*19/18</f>
        <v>3736.0333333333338</v>
      </c>
      <c r="AJ59" s="78"/>
      <c r="AK59" s="81"/>
      <c r="AL59" s="78"/>
      <c r="AM59" s="81"/>
      <c r="AN59" s="78">
        <v>19</v>
      </c>
      <c r="AO59" s="81">
        <f>L59*0.3*AN59/18</f>
        <v>37897.388124999998</v>
      </c>
      <c r="AP59" s="78">
        <v>19</v>
      </c>
      <c r="AQ59" s="81"/>
      <c r="AR59" s="81">
        <f t="shared" si="10"/>
        <v>50529.850833333345</v>
      </c>
      <c r="AS59" s="81"/>
      <c r="AT59" s="81"/>
      <c r="AU59" s="81"/>
      <c r="AV59" s="81"/>
      <c r="AW59" s="81"/>
      <c r="AX59" s="81"/>
      <c r="AY59" s="81">
        <f t="shared" si="14"/>
        <v>12632.462708333336</v>
      </c>
      <c r="AZ59" s="81"/>
      <c r="BA59" s="71">
        <f t="array" ref="BA59">SUM(ROUND(AA59:AI59,0),ROUND(AK59:AK59,0),ROUND(AM59:AM59,0),ROUND(AO59:AO59,0),ROUND(AQ59:AZ59,0))</f>
        <v>246457</v>
      </c>
    </row>
    <row r="60" spans="1:53" s="20" customFormat="1" ht="12" thickBot="1" x14ac:dyDescent="0.25">
      <c r="A60" s="72">
        <v>24</v>
      </c>
      <c r="B60" s="73" t="s">
        <v>146</v>
      </c>
      <c r="C60" s="73" t="s">
        <v>100</v>
      </c>
      <c r="D60" s="74" t="s">
        <v>77</v>
      </c>
      <c r="E60" s="74" t="s">
        <v>83</v>
      </c>
      <c r="F60" s="73" t="s">
        <v>113</v>
      </c>
      <c r="G60" s="74" t="s">
        <v>84</v>
      </c>
      <c r="H60" s="75" t="s">
        <v>85</v>
      </c>
      <c r="I60" s="76">
        <v>5.41</v>
      </c>
      <c r="J60" s="77">
        <f t="shared" si="1"/>
        <v>95740.77</v>
      </c>
      <c r="K60" s="78">
        <v>1.25</v>
      </c>
      <c r="L60" s="77">
        <f t="shared" si="2"/>
        <v>119675.96250000001</v>
      </c>
      <c r="M60" s="79"/>
      <c r="N60" s="77">
        <v>17697</v>
      </c>
      <c r="O60" s="78"/>
      <c r="P60" s="78">
        <v>18</v>
      </c>
      <c r="Q60" s="78"/>
      <c r="R60" s="80" t="str">
        <f t="shared" si="11"/>
        <v/>
      </c>
      <c r="S60" s="80">
        <f t="shared" si="12"/>
        <v>119675.96250000001</v>
      </c>
      <c r="T60" s="80" t="str">
        <f t="shared" si="13"/>
        <v/>
      </c>
      <c r="U60" s="78"/>
      <c r="V60" s="77"/>
      <c r="W60" s="78">
        <v>10</v>
      </c>
      <c r="X60" s="77">
        <f t="shared" ref="X60:X65" si="15">N60*0.4/18*W60</f>
        <v>3932.6666666666665</v>
      </c>
      <c r="Y60" s="78"/>
      <c r="Z60" s="77"/>
      <c r="AA60" s="80">
        <f t="shared" si="9"/>
        <v>123608.62916666668</v>
      </c>
      <c r="AB60" s="77"/>
      <c r="AC60" s="77"/>
      <c r="AD60" s="77"/>
      <c r="AE60" s="77"/>
      <c r="AF60" s="77"/>
      <c r="AG60" s="77"/>
      <c r="AH60" s="77"/>
      <c r="AI60" s="77">
        <f>N60*0.2*18/18</f>
        <v>3539.4</v>
      </c>
      <c r="AJ60" s="78"/>
      <c r="AK60" s="81"/>
      <c r="AL60" s="78">
        <v>18</v>
      </c>
      <c r="AM60" s="81">
        <f t="shared" ref="AM60:AM65" si="16">L60*0.3*AL60/18</f>
        <v>35902.78875</v>
      </c>
      <c r="AN60" s="78"/>
      <c r="AO60" s="81"/>
      <c r="AP60" s="78">
        <v>18</v>
      </c>
      <c r="AQ60" s="81"/>
      <c r="AR60" s="81">
        <f t="shared" si="10"/>
        <v>47870.385000000009</v>
      </c>
      <c r="AS60" s="81"/>
      <c r="AT60" s="81"/>
      <c r="AU60" s="81"/>
      <c r="AV60" s="81"/>
      <c r="AW60" s="81"/>
      <c r="AX60" s="81"/>
      <c r="AY60" s="81">
        <f t="shared" si="14"/>
        <v>11967.596250000002</v>
      </c>
      <c r="AZ60" s="81"/>
      <c r="BA60" s="71">
        <f t="array" ref="BA60">SUM(ROUND(AA60:AI60,0),ROUND(AK60:AK60,0),ROUND(AM60:AM60,0),ROUND(AO60:AO60,0),ROUND(AQ60:AZ60,0))</f>
        <v>222889</v>
      </c>
    </row>
    <row r="61" spans="1:53" s="20" customFormat="1" ht="12" thickBot="1" x14ac:dyDescent="0.25">
      <c r="A61" s="72">
        <v>25</v>
      </c>
      <c r="B61" s="73" t="s">
        <v>147</v>
      </c>
      <c r="C61" s="73" t="s">
        <v>100</v>
      </c>
      <c r="D61" s="74" t="s">
        <v>77</v>
      </c>
      <c r="E61" s="74" t="s">
        <v>83</v>
      </c>
      <c r="F61" s="73" t="s">
        <v>148</v>
      </c>
      <c r="G61" s="74" t="s">
        <v>84</v>
      </c>
      <c r="H61" s="75" t="s">
        <v>85</v>
      </c>
      <c r="I61" s="76">
        <v>5.41</v>
      </c>
      <c r="J61" s="77">
        <f t="shared" si="1"/>
        <v>95740.77</v>
      </c>
      <c r="K61" s="78">
        <v>1.25</v>
      </c>
      <c r="L61" s="77">
        <f t="shared" si="2"/>
        <v>119675.96250000001</v>
      </c>
      <c r="M61" s="79"/>
      <c r="N61" s="77">
        <v>17697</v>
      </c>
      <c r="O61" s="78"/>
      <c r="P61" s="78">
        <v>26</v>
      </c>
      <c r="Q61" s="78"/>
      <c r="R61" s="80" t="str">
        <f t="shared" si="11"/>
        <v/>
      </c>
      <c r="S61" s="80">
        <f t="shared" si="12"/>
        <v>172865.27916666667</v>
      </c>
      <c r="T61" s="80" t="str">
        <f t="shared" si="13"/>
        <v/>
      </c>
      <c r="U61" s="78"/>
      <c r="V61" s="77"/>
      <c r="W61" s="78">
        <v>20</v>
      </c>
      <c r="X61" s="77">
        <f t="shared" si="15"/>
        <v>7865.333333333333</v>
      </c>
      <c r="Y61" s="78"/>
      <c r="Z61" s="77"/>
      <c r="AA61" s="80">
        <f t="shared" si="9"/>
        <v>180730.61250000002</v>
      </c>
      <c r="AB61" s="77"/>
      <c r="AC61" s="77"/>
      <c r="AD61" s="77"/>
      <c r="AE61" s="77"/>
      <c r="AF61" s="77">
        <f>N61*0.6</f>
        <v>10618.199999999999</v>
      </c>
      <c r="AG61" s="77"/>
      <c r="AH61" s="77"/>
      <c r="AI61" s="77">
        <f>N61*0.2*26/18</f>
        <v>5112.4666666666672</v>
      </c>
      <c r="AJ61" s="78"/>
      <c r="AK61" s="81"/>
      <c r="AL61" s="78">
        <v>26</v>
      </c>
      <c r="AM61" s="81">
        <f t="shared" si="16"/>
        <v>51859.583749999998</v>
      </c>
      <c r="AN61" s="78"/>
      <c r="AO61" s="81"/>
      <c r="AP61" s="78">
        <v>26</v>
      </c>
      <c r="AQ61" s="81"/>
      <c r="AR61" s="81">
        <f t="shared" si="10"/>
        <v>69146.111666666679</v>
      </c>
      <c r="AS61" s="81"/>
      <c r="AT61" s="81"/>
      <c r="AU61" s="81"/>
      <c r="AV61" s="81"/>
      <c r="AW61" s="81"/>
      <c r="AX61" s="81"/>
      <c r="AY61" s="81">
        <f t="shared" si="14"/>
        <v>17286.52791666667</v>
      </c>
      <c r="AZ61" s="81"/>
      <c r="BA61" s="71">
        <f t="array" ref="BA61">SUM(ROUND(AA61:AI61,0),ROUND(AK61:AK61,0),ROUND(AM61:AM61,0),ROUND(AO61:AO61,0),ROUND(AQ61:AZ61,0))</f>
        <v>334754</v>
      </c>
    </row>
    <row r="62" spans="1:53" s="20" customFormat="1" ht="12" thickBot="1" x14ac:dyDescent="0.25">
      <c r="A62" s="72">
        <v>26</v>
      </c>
      <c r="B62" s="73" t="s">
        <v>149</v>
      </c>
      <c r="C62" s="73" t="s">
        <v>100</v>
      </c>
      <c r="D62" s="74" t="s">
        <v>77</v>
      </c>
      <c r="E62" s="74" t="s">
        <v>78</v>
      </c>
      <c r="F62" s="73" t="s">
        <v>150</v>
      </c>
      <c r="G62" s="74" t="s">
        <v>84</v>
      </c>
      <c r="H62" s="75" t="s">
        <v>96</v>
      </c>
      <c r="I62" s="76">
        <v>4.33</v>
      </c>
      <c r="J62" s="77">
        <f t="shared" si="1"/>
        <v>76628.009999999995</v>
      </c>
      <c r="K62" s="78">
        <v>1.25</v>
      </c>
      <c r="L62" s="77">
        <f t="shared" si="2"/>
        <v>95785.012499999997</v>
      </c>
      <c r="M62" s="79"/>
      <c r="N62" s="77">
        <v>17697</v>
      </c>
      <c r="O62" s="78"/>
      <c r="P62" s="78">
        <v>26</v>
      </c>
      <c r="Q62" s="78"/>
      <c r="R62" s="80" t="str">
        <f t="shared" si="11"/>
        <v/>
      </c>
      <c r="S62" s="80">
        <f t="shared" si="12"/>
        <v>138356.12916666668</v>
      </c>
      <c r="T62" s="80" t="str">
        <f t="shared" si="13"/>
        <v/>
      </c>
      <c r="U62" s="78"/>
      <c r="V62" s="77"/>
      <c r="W62" s="78">
        <v>20</v>
      </c>
      <c r="X62" s="77">
        <f t="shared" si="15"/>
        <v>7865.333333333333</v>
      </c>
      <c r="Y62" s="78"/>
      <c r="Z62" s="77"/>
      <c r="AA62" s="80">
        <f t="shared" si="9"/>
        <v>146221.46250000002</v>
      </c>
      <c r="AB62" s="77"/>
      <c r="AC62" s="77"/>
      <c r="AD62" s="77"/>
      <c r="AE62" s="77"/>
      <c r="AF62" s="77">
        <f>N62*0.6</f>
        <v>10618.199999999999</v>
      </c>
      <c r="AG62" s="77"/>
      <c r="AH62" s="77"/>
      <c r="AI62" s="77">
        <f>N62*0.2*26/18</f>
        <v>5112.4666666666672</v>
      </c>
      <c r="AJ62" s="78"/>
      <c r="AK62" s="81"/>
      <c r="AL62" s="78">
        <v>26</v>
      </c>
      <c r="AM62" s="81">
        <f t="shared" si="16"/>
        <v>41506.838750000003</v>
      </c>
      <c r="AN62" s="78"/>
      <c r="AO62" s="81"/>
      <c r="AP62" s="78"/>
      <c r="AQ62" s="81"/>
      <c r="AR62" s="81"/>
      <c r="AS62" s="81"/>
      <c r="AT62" s="81"/>
      <c r="AU62" s="81"/>
      <c r="AV62" s="81"/>
      <c r="AW62" s="81"/>
      <c r="AX62" s="81"/>
      <c r="AY62" s="81">
        <f t="shared" si="14"/>
        <v>13835.612916666665</v>
      </c>
      <c r="AZ62" s="81"/>
      <c r="BA62" s="71">
        <f t="array" ref="BA62">SUM(ROUND(AA62:AI62,0),ROUND(AK62:AK62,0),ROUND(AM62:AM62,0),ROUND(AO62:AO62,0),ROUND(AQ62:AZ62,0))</f>
        <v>217294</v>
      </c>
    </row>
    <row r="63" spans="1:53" s="20" customFormat="1" ht="12" thickBot="1" x14ac:dyDescent="0.25">
      <c r="A63" s="72">
        <v>27</v>
      </c>
      <c r="B63" s="73" t="s">
        <v>151</v>
      </c>
      <c r="C63" s="73" t="s">
        <v>100</v>
      </c>
      <c r="D63" s="74" t="s">
        <v>77</v>
      </c>
      <c r="E63" s="74" t="s">
        <v>83</v>
      </c>
      <c r="F63" s="73" t="s">
        <v>152</v>
      </c>
      <c r="G63" s="74" t="s">
        <v>84</v>
      </c>
      <c r="H63" s="75" t="s">
        <v>85</v>
      </c>
      <c r="I63" s="76">
        <v>5.41</v>
      </c>
      <c r="J63" s="77">
        <f t="shared" si="1"/>
        <v>95740.77</v>
      </c>
      <c r="K63" s="78">
        <v>1.25</v>
      </c>
      <c r="L63" s="77">
        <f t="shared" si="2"/>
        <v>119675.96250000001</v>
      </c>
      <c r="M63" s="79"/>
      <c r="N63" s="77">
        <v>17697</v>
      </c>
      <c r="O63" s="78"/>
      <c r="P63" s="78">
        <v>14</v>
      </c>
      <c r="Q63" s="78"/>
      <c r="R63" s="80" t="str">
        <f t="shared" si="11"/>
        <v/>
      </c>
      <c r="S63" s="80">
        <f t="shared" si="12"/>
        <v>93081.304166666683</v>
      </c>
      <c r="T63" s="80" t="str">
        <f t="shared" si="13"/>
        <v/>
      </c>
      <c r="U63" s="78"/>
      <c r="V63" s="77"/>
      <c r="W63" s="78">
        <v>10</v>
      </c>
      <c r="X63" s="77">
        <f t="shared" si="15"/>
        <v>3932.6666666666665</v>
      </c>
      <c r="Y63" s="78"/>
      <c r="Z63" s="77"/>
      <c r="AA63" s="80">
        <f t="shared" si="9"/>
        <v>97013.970833333355</v>
      </c>
      <c r="AB63" s="77"/>
      <c r="AC63" s="77"/>
      <c r="AD63" s="77"/>
      <c r="AE63" s="77"/>
      <c r="AF63" s="77"/>
      <c r="AG63" s="77"/>
      <c r="AH63" s="77"/>
      <c r="AI63" s="77">
        <f>N63*0.2*14/18</f>
        <v>2752.8666666666668</v>
      </c>
      <c r="AJ63" s="78"/>
      <c r="AK63" s="81"/>
      <c r="AL63" s="78">
        <v>14</v>
      </c>
      <c r="AM63" s="81">
        <f t="shared" si="16"/>
        <v>27924.391250000001</v>
      </c>
      <c r="AN63" s="78"/>
      <c r="AO63" s="81"/>
      <c r="AP63" s="78"/>
      <c r="AQ63" s="81"/>
      <c r="AR63" s="81"/>
      <c r="AS63" s="81"/>
      <c r="AT63" s="81"/>
      <c r="AU63" s="81"/>
      <c r="AV63" s="81"/>
      <c r="AW63" s="81"/>
      <c r="AX63" s="81"/>
      <c r="AY63" s="81">
        <f t="shared" si="14"/>
        <v>9308.1304166666687</v>
      </c>
      <c r="AZ63" s="81"/>
      <c r="BA63" s="71">
        <f t="array" ref="BA63">SUM(ROUND(AA63:AI63,0),ROUND(AK63:AK63,0),ROUND(AM63:AM63,0),ROUND(AO63:AO63,0),ROUND(AQ63:AZ63,0))</f>
        <v>136999</v>
      </c>
    </row>
    <row r="64" spans="1:53" s="20" customFormat="1" ht="12" thickBot="1" x14ac:dyDescent="0.25">
      <c r="A64" s="72">
        <v>28</v>
      </c>
      <c r="B64" s="73" t="s">
        <v>153</v>
      </c>
      <c r="C64" s="73" t="s">
        <v>82</v>
      </c>
      <c r="D64" s="74" t="s">
        <v>77</v>
      </c>
      <c r="E64" s="74" t="s">
        <v>83</v>
      </c>
      <c r="F64" s="73" t="s">
        <v>154</v>
      </c>
      <c r="G64" s="74" t="s">
        <v>84</v>
      </c>
      <c r="H64" s="75" t="s">
        <v>85</v>
      </c>
      <c r="I64" s="76">
        <v>5.41</v>
      </c>
      <c r="J64" s="77">
        <f t="shared" si="1"/>
        <v>95740.77</v>
      </c>
      <c r="K64" s="78">
        <v>1.25</v>
      </c>
      <c r="L64" s="77">
        <f t="shared" si="2"/>
        <v>119675.96250000001</v>
      </c>
      <c r="M64" s="79"/>
      <c r="N64" s="77">
        <v>17697</v>
      </c>
      <c r="O64" s="78"/>
      <c r="P64" s="78">
        <v>8.5</v>
      </c>
      <c r="Q64" s="78">
        <v>5</v>
      </c>
      <c r="R64" s="80" t="str">
        <f t="shared" si="11"/>
        <v/>
      </c>
      <c r="S64" s="80">
        <f t="shared" si="12"/>
        <v>56513.648958333339</v>
      </c>
      <c r="T64" s="80">
        <f t="shared" si="13"/>
        <v>33243.322916666672</v>
      </c>
      <c r="U64" s="78"/>
      <c r="V64" s="77"/>
      <c r="W64" s="78">
        <v>4</v>
      </c>
      <c r="X64" s="77">
        <f t="shared" si="15"/>
        <v>1573.0666666666666</v>
      </c>
      <c r="Y64" s="78">
        <v>1</v>
      </c>
      <c r="Z64" s="77">
        <f>N64*0.4/18*Y64</f>
        <v>393.26666666666665</v>
      </c>
      <c r="AA64" s="80">
        <f t="shared" si="9"/>
        <v>91723.305208333346</v>
      </c>
      <c r="AB64" s="77"/>
      <c r="AC64" s="77"/>
      <c r="AD64" s="77"/>
      <c r="AE64" s="77"/>
      <c r="AF64" s="77">
        <f>N64*0.6</f>
        <v>10618.199999999999</v>
      </c>
      <c r="AG64" s="77"/>
      <c r="AH64" s="77"/>
      <c r="AI64" s="77">
        <f>N64*0.2*13.5/18</f>
        <v>2654.55</v>
      </c>
      <c r="AJ64" s="78"/>
      <c r="AK64" s="81"/>
      <c r="AL64" s="78">
        <v>8.5</v>
      </c>
      <c r="AM64" s="81">
        <f t="shared" si="16"/>
        <v>16954.094687499997</v>
      </c>
      <c r="AN64" s="78">
        <v>5</v>
      </c>
      <c r="AO64" s="81">
        <f>L64*0.3*AN64/18</f>
        <v>9972.9968750000007</v>
      </c>
      <c r="AP64" s="78">
        <v>13.5</v>
      </c>
      <c r="AQ64" s="81"/>
      <c r="AR64" s="81">
        <f>L64*0.4*AP64/18</f>
        <v>35902.788750000007</v>
      </c>
      <c r="AS64" s="81"/>
      <c r="AT64" s="81"/>
      <c r="AU64" s="81"/>
      <c r="AV64" s="81"/>
      <c r="AW64" s="81"/>
      <c r="AX64" s="81"/>
      <c r="AY64" s="81">
        <f t="shared" si="14"/>
        <v>8975.6971875000017</v>
      </c>
      <c r="AZ64" s="81"/>
      <c r="BA64" s="71">
        <f t="array" ref="BA64">SUM(ROUND(AA64:AI64,0),ROUND(AK64:AK64,0),ROUND(AM64:AM64,0),ROUND(AO64:AO64,0),ROUND(AQ64:AZ64,0))</f>
        <v>176802</v>
      </c>
    </row>
    <row r="65" spans="1:53" s="20" customFormat="1" ht="12" thickBot="1" x14ac:dyDescent="0.25">
      <c r="A65" s="84">
        <v>29</v>
      </c>
      <c r="B65" s="82" t="s">
        <v>155</v>
      </c>
      <c r="C65" s="53" t="s">
        <v>82</v>
      </c>
      <c r="D65" s="54" t="s">
        <v>77</v>
      </c>
      <c r="E65" s="54">
        <v>2</v>
      </c>
      <c r="F65" s="53" t="s">
        <v>156</v>
      </c>
      <c r="G65" s="54" t="s">
        <v>84</v>
      </c>
      <c r="H65" s="55" t="s">
        <v>81</v>
      </c>
      <c r="I65" s="56">
        <v>4.66</v>
      </c>
      <c r="J65" s="57">
        <f t="shared" si="1"/>
        <v>82468.02</v>
      </c>
      <c r="K65" s="58">
        <v>1.25</v>
      </c>
      <c r="L65" s="57">
        <f t="shared" si="2"/>
        <v>103085.02500000001</v>
      </c>
      <c r="M65" s="59"/>
      <c r="N65" s="57">
        <v>17697</v>
      </c>
      <c r="O65" s="58"/>
      <c r="P65" s="58">
        <v>9</v>
      </c>
      <c r="Q65" s="58">
        <v>3</v>
      </c>
      <c r="R65" s="60" t="str">
        <f t="shared" si="11"/>
        <v/>
      </c>
      <c r="S65" s="60">
        <f t="shared" si="12"/>
        <v>51542.512500000004</v>
      </c>
      <c r="T65" s="60">
        <f t="shared" si="13"/>
        <v>17180.837500000001</v>
      </c>
      <c r="U65" s="58"/>
      <c r="V65" s="57"/>
      <c r="W65" s="58">
        <v>5</v>
      </c>
      <c r="X65" s="57">
        <f t="shared" si="15"/>
        <v>1966.3333333333333</v>
      </c>
      <c r="Y65" s="58">
        <v>1</v>
      </c>
      <c r="Z65" s="57">
        <f>N65*0.4/18*Y65</f>
        <v>393.26666666666665</v>
      </c>
      <c r="AA65" s="60">
        <f t="shared" si="9"/>
        <v>71082.95</v>
      </c>
      <c r="AB65" s="57"/>
      <c r="AC65" s="57"/>
      <c r="AD65" s="57"/>
      <c r="AE65" s="57"/>
      <c r="AF65" s="57"/>
      <c r="AG65" s="57">
        <f>N65*0.2</f>
        <v>3539.4</v>
      </c>
      <c r="AH65" s="57"/>
      <c r="AI65" s="57">
        <f>N65*0.2*12/18</f>
        <v>2359.6000000000004</v>
      </c>
      <c r="AJ65" s="58"/>
      <c r="AK65" s="61"/>
      <c r="AL65" s="58">
        <v>9</v>
      </c>
      <c r="AM65" s="61">
        <f t="shared" si="16"/>
        <v>15462.75375</v>
      </c>
      <c r="AN65" s="58">
        <v>3</v>
      </c>
      <c r="AO65" s="61">
        <f>L65*0.3*AN65/18</f>
        <v>5154.2512499999993</v>
      </c>
      <c r="AP65" s="58">
        <v>12</v>
      </c>
      <c r="AQ65" s="61"/>
      <c r="AR65" s="61"/>
      <c r="AS65" s="61"/>
      <c r="AT65" s="61">
        <f>L65*0.3*AP65/18</f>
        <v>20617.004999999997</v>
      </c>
      <c r="AU65" s="61">
        <f>N65*2</f>
        <v>35394</v>
      </c>
      <c r="AV65" s="61"/>
      <c r="AW65" s="61"/>
      <c r="AX65" s="61"/>
      <c r="AY65" s="61">
        <f t="shared" si="14"/>
        <v>6872.3350000000019</v>
      </c>
      <c r="AZ65" s="61"/>
      <c r="BA65" s="71">
        <f t="array" ref="BA65">SUM(ROUND(AA65:AI65,0),ROUND(AK65:AK65,0),ROUND(AM65:AM65,0),ROUND(AO65:AO65,0),ROUND(AQ65:AZ65,0))</f>
        <v>160482</v>
      </c>
    </row>
    <row r="66" spans="1:53" s="20" customFormat="1" ht="12" thickBot="1" x14ac:dyDescent="0.25">
      <c r="A66" s="87"/>
      <c r="B66" s="86"/>
      <c r="C66" s="42" t="s">
        <v>157</v>
      </c>
      <c r="D66" s="43" t="s">
        <v>77</v>
      </c>
      <c r="E66" s="43" t="s">
        <v>78</v>
      </c>
      <c r="F66" s="42" t="s">
        <v>156</v>
      </c>
      <c r="G66" s="43" t="s">
        <v>84</v>
      </c>
      <c r="H66" s="44" t="s">
        <v>96</v>
      </c>
      <c r="I66" s="45">
        <v>4.2699999999999996</v>
      </c>
      <c r="J66" s="46">
        <f t="shared" si="1"/>
        <v>75566.189999999988</v>
      </c>
      <c r="K66" s="47">
        <v>1.25</v>
      </c>
      <c r="L66" s="46">
        <f t="shared" si="2"/>
        <v>94457.737499999988</v>
      </c>
      <c r="M66" s="48"/>
      <c r="N66" s="46">
        <v>17697</v>
      </c>
      <c r="O66" s="47">
        <v>13.5</v>
      </c>
      <c r="P66" s="47"/>
      <c r="Q66" s="47"/>
      <c r="R66" s="49">
        <f t="shared" si="11"/>
        <v>70843.303124999991</v>
      </c>
      <c r="S66" s="49" t="str">
        <f t="shared" si="12"/>
        <v/>
      </c>
      <c r="T66" s="49" t="str">
        <f t="shared" si="13"/>
        <v/>
      </c>
      <c r="U66" s="47"/>
      <c r="V66" s="46"/>
      <c r="W66" s="47"/>
      <c r="X66" s="46"/>
      <c r="Y66" s="47"/>
      <c r="Z66" s="46"/>
      <c r="AA66" s="49">
        <f t="shared" si="9"/>
        <v>70843.303124999991</v>
      </c>
      <c r="AB66" s="46"/>
      <c r="AC66" s="46"/>
      <c r="AD66" s="46"/>
      <c r="AE66" s="46"/>
      <c r="AF66" s="46"/>
      <c r="AG66" s="46"/>
      <c r="AH66" s="46"/>
      <c r="AI66" s="46">
        <f>N66*0.2*10.5/18</f>
        <v>2064.65</v>
      </c>
      <c r="AJ66" s="47">
        <v>13.5</v>
      </c>
      <c r="AK66" s="50">
        <f>L66*0.3*AJ66/18</f>
        <v>21252.990937499999</v>
      </c>
      <c r="AL66" s="47"/>
      <c r="AM66" s="50"/>
      <c r="AN66" s="47"/>
      <c r="AO66" s="50"/>
      <c r="AP66" s="47"/>
      <c r="AQ66" s="50"/>
      <c r="AR66" s="50"/>
      <c r="AS66" s="50"/>
      <c r="AT66" s="50"/>
      <c r="AU66" s="50"/>
      <c r="AV66" s="50"/>
      <c r="AW66" s="50"/>
      <c r="AX66" s="50"/>
      <c r="AY66" s="50">
        <f t="shared" si="14"/>
        <v>7084.3303124999984</v>
      </c>
      <c r="AZ66" s="50"/>
      <c r="BA66" s="71">
        <f t="array" ref="BA66">SUM(ROUND(AA66:AI66,0),ROUND(AK66:AK66,0),ROUND(AM66:AM66,0),ROUND(AO66:AO66,0),ROUND(AQ66:AZ66,0))</f>
        <v>101245</v>
      </c>
    </row>
    <row r="67" spans="1:53" s="20" customFormat="1" ht="12" thickBot="1" x14ac:dyDescent="0.25">
      <c r="A67" s="72">
        <v>30</v>
      </c>
      <c r="B67" s="73" t="s">
        <v>158</v>
      </c>
      <c r="C67" s="73" t="s">
        <v>159</v>
      </c>
      <c r="D67" s="74" t="s">
        <v>77</v>
      </c>
      <c r="E67" s="74">
        <v>1</v>
      </c>
      <c r="F67" s="73" t="s">
        <v>160</v>
      </c>
      <c r="G67" s="74" t="s">
        <v>84</v>
      </c>
      <c r="H67" s="75" t="s">
        <v>91</v>
      </c>
      <c r="I67" s="76">
        <v>5.03</v>
      </c>
      <c r="J67" s="77">
        <f t="shared" si="1"/>
        <v>89015.91</v>
      </c>
      <c r="K67" s="78">
        <v>1.25</v>
      </c>
      <c r="L67" s="77">
        <f t="shared" si="2"/>
        <v>111269.88750000001</v>
      </c>
      <c r="M67" s="79"/>
      <c r="N67" s="77">
        <v>17697</v>
      </c>
      <c r="O67" s="78"/>
      <c r="P67" s="78">
        <v>14</v>
      </c>
      <c r="Q67" s="78">
        <v>5</v>
      </c>
      <c r="R67" s="80" t="str">
        <f t="shared" si="11"/>
        <v/>
      </c>
      <c r="S67" s="80">
        <f t="shared" si="12"/>
        <v>86543.245833333349</v>
      </c>
      <c r="T67" s="80">
        <f t="shared" si="13"/>
        <v>30908.302083333336</v>
      </c>
      <c r="U67" s="78"/>
      <c r="V67" s="77"/>
      <c r="W67" s="78">
        <v>9</v>
      </c>
      <c r="X67" s="77">
        <f>N67*0.4/18*W67</f>
        <v>3539.3999999999996</v>
      </c>
      <c r="Y67" s="78">
        <v>1</v>
      </c>
      <c r="Z67" s="77">
        <f>N67*0.4/18*Y67</f>
        <v>393.26666666666665</v>
      </c>
      <c r="AA67" s="80">
        <f t="shared" si="9"/>
        <v>121384.21458333335</v>
      </c>
      <c r="AB67" s="77"/>
      <c r="AC67" s="77"/>
      <c r="AD67" s="77"/>
      <c r="AE67" s="77"/>
      <c r="AF67" s="77"/>
      <c r="AG67" s="77">
        <f>N67*0.2</f>
        <v>3539.4</v>
      </c>
      <c r="AH67" s="77"/>
      <c r="AI67" s="77">
        <f>N67*0.2*19/18</f>
        <v>3736.0333333333338</v>
      </c>
      <c r="AJ67" s="78"/>
      <c r="AK67" s="81"/>
      <c r="AL67" s="78">
        <v>14</v>
      </c>
      <c r="AM67" s="81">
        <f t="shared" ref="AM67:AM74" si="17">L67*0.3*AL67/18</f>
        <v>25962.973750000005</v>
      </c>
      <c r="AN67" s="78">
        <v>5</v>
      </c>
      <c r="AO67" s="81">
        <f>L67*0.3*AN67/18</f>
        <v>9272.4906250000004</v>
      </c>
      <c r="AP67" s="78">
        <v>19</v>
      </c>
      <c r="AQ67" s="81"/>
      <c r="AR67" s="81"/>
      <c r="AS67" s="81">
        <f>L67*0.35*AP67/18</f>
        <v>41108.041770833333</v>
      </c>
      <c r="AT67" s="81"/>
      <c r="AU67" s="81"/>
      <c r="AV67" s="81">
        <f>N67*1</f>
        <v>17697</v>
      </c>
      <c r="AW67" s="81"/>
      <c r="AX67" s="81"/>
      <c r="AY67" s="81">
        <f t="shared" si="14"/>
        <v>11745.154791666668</v>
      </c>
      <c r="AZ67" s="81"/>
      <c r="BA67" s="71">
        <f t="array" ref="BA67">SUM(ROUND(AA67:AI67,0),ROUND(AK67:AK67,0),ROUND(AM67:AM67,0),ROUND(AO67:AO67,0),ROUND(AQ67:AZ67,0))</f>
        <v>234444</v>
      </c>
    </row>
    <row r="68" spans="1:53" s="20" customFormat="1" ht="12" thickBot="1" x14ac:dyDescent="0.25">
      <c r="A68" s="84">
        <v>31</v>
      </c>
      <c r="B68" s="82" t="s">
        <v>161</v>
      </c>
      <c r="C68" s="53" t="s">
        <v>162</v>
      </c>
      <c r="D68" s="54" t="s">
        <v>77</v>
      </c>
      <c r="E68" s="54" t="s">
        <v>83</v>
      </c>
      <c r="F68" s="53" t="s">
        <v>163</v>
      </c>
      <c r="G68" s="54" t="s">
        <v>84</v>
      </c>
      <c r="H68" s="55" t="s">
        <v>85</v>
      </c>
      <c r="I68" s="56">
        <v>5.32</v>
      </c>
      <c r="J68" s="57">
        <f t="shared" si="1"/>
        <v>94148.040000000008</v>
      </c>
      <c r="K68" s="58">
        <v>1.25</v>
      </c>
      <c r="L68" s="57">
        <f t="shared" si="2"/>
        <v>117685.05000000002</v>
      </c>
      <c r="M68" s="59"/>
      <c r="N68" s="57">
        <v>17697</v>
      </c>
      <c r="O68" s="58"/>
      <c r="P68" s="58">
        <v>15</v>
      </c>
      <c r="Q68" s="58">
        <v>3</v>
      </c>
      <c r="R68" s="60" t="str">
        <f t="shared" si="11"/>
        <v/>
      </c>
      <c r="S68" s="60">
        <f t="shared" si="12"/>
        <v>98070.875000000015</v>
      </c>
      <c r="T68" s="60">
        <f t="shared" si="13"/>
        <v>19614.175000000003</v>
      </c>
      <c r="U68" s="58"/>
      <c r="V68" s="57"/>
      <c r="W68" s="58"/>
      <c r="X68" s="57"/>
      <c r="Y68" s="58">
        <v>1</v>
      </c>
      <c r="Z68" s="57">
        <f>N68*0.4/18*Y68</f>
        <v>393.26666666666665</v>
      </c>
      <c r="AA68" s="60">
        <f t="shared" si="9"/>
        <v>118078.31666666668</v>
      </c>
      <c r="AB68" s="57"/>
      <c r="AC68" s="57"/>
      <c r="AD68" s="57"/>
      <c r="AE68" s="57"/>
      <c r="AF68" s="57"/>
      <c r="AG68" s="57"/>
      <c r="AH68" s="57"/>
      <c r="AI68" s="57">
        <f>N68*0.2*18/18</f>
        <v>3539.4</v>
      </c>
      <c r="AJ68" s="58"/>
      <c r="AK68" s="61"/>
      <c r="AL68" s="58">
        <v>15</v>
      </c>
      <c r="AM68" s="61">
        <f t="shared" si="17"/>
        <v>29421.262500000004</v>
      </c>
      <c r="AN68" s="58">
        <v>3</v>
      </c>
      <c r="AO68" s="61">
        <f>L68*0.3*AN68/18</f>
        <v>5884.2525000000005</v>
      </c>
      <c r="AP68" s="58">
        <v>18</v>
      </c>
      <c r="AQ68" s="61"/>
      <c r="AR68" s="61">
        <f>L68*0.4*AP68/18</f>
        <v>47074.020000000011</v>
      </c>
      <c r="AS68" s="61"/>
      <c r="AT68" s="61"/>
      <c r="AU68" s="61"/>
      <c r="AV68" s="61"/>
      <c r="AW68" s="61"/>
      <c r="AX68" s="61"/>
      <c r="AY68" s="61">
        <f t="shared" si="14"/>
        <v>11768.505000000003</v>
      </c>
      <c r="AZ68" s="61"/>
      <c r="BA68" s="71">
        <f t="array" ref="BA68">SUM(ROUND(AA68:AI68,0),ROUND(AK68:AK68,0),ROUND(AM68:AM68,0),ROUND(AO68:AO68,0),ROUND(AQ68:AZ68,0))</f>
        <v>215765</v>
      </c>
    </row>
    <row r="69" spans="1:53" s="20" customFormat="1" ht="12" thickBot="1" x14ac:dyDescent="0.25">
      <c r="A69" s="87"/>
      <c r="B69" s="86"/>
      <c r="C69" s="42" t="s">
        <v>164</v>
      </c>
      <c r="D69" s="43" t="s">
        <v>77</v>
      </c>
      <c r="E69" s="43" t="s">
        <v>83</v>
      </c>
      <c r="F69" s="42" t="s">
        <v>163</v>
      </c>
      <c r="G69" s="43" t="s">
        <v>84</v>
      </c>
      <c r="H69" s="44" t="s">
        <v>85</v>
      </c>
      <c r="I69" s="45">
        <v>5.32</v>
      </c>
      <c r="J69" s="46">
        <f t="shared" si="1"/>
        <v>94148.040000000008</v>
      </c>
      <c r="K69" s="47">
        <v>1.25</v>
      </c>
      <c r="L69" s="46">
        <f t="shared" si="2"/>
        <v>117685.05000000002</v>
      </c>
      <c r="M69" s="48"/>
      <c r="N69" s="46">
        <v>17697</v>
      </c>
      <c r="O69" s="47"/>
      <c r="P69" s="47">
        <v>8</v>
      </c>
      <c r="Q69" s="47"/>
      <c r="R69" s="49" t="str">
        <f t="shared" si="11"/>
        <v/>
      </c>
      <c r="S69" s="49">
        <f t="shared" si="12"/>
        <v>52304.466666666674</v>
      </c>
      <c r="T69" s="49" t="str">
        <f t="shared" si="13"/>
        <v/>
      </c>
      <c r="U69" s="47"/>
      <c r="V69" s="46"/>
      <c r="W69" s="47"/>
      <c r="X69" s="46"/>
      <c r="Y69" s="47"/>
      <c r="Z69" s="46"/>
      <c r="AA69" s="49">
        <f t="shared" si="9"/>
        <v>52304.466666666674</v>
      </c>
      <c r="AB69" s="46"/>
      <c r="AC69" s="46"/>
      <c r="AD69" s="46"/>
      <c r="AE69" s="46"/>
      <c r="AF69" s="46"/>
      <c r="AG69" s="46"/>
      <c r="AH69" s="46"/>
      <c r="AI69" s="46">
        <f>N69*0.2*8/18</f>
        <v>1573.0666666666666</v>
      </c>
      <c r="AJ69" s="47"/>
      <c r="AK69" s="50"/>
      <c r="AL69" s="47">
        <v>8</v>
      </c>
      <c r="AM69" s="50">
        <f t="shared" si="17"/>
        <v>15691.340000000004</v>
      </c>
      <c r="AN69" s="47"/>
      <c r="AO69" s="50"/>
      <c r="AP69" s="47"/>
      <c r="AQ69" s="50"/>
      <c r="AR69" s="50"/>
      <c r="AS69" s="50"/>
      <c r="AT69" s="50"/>
      <c r="AU69" s="50"/>
      <c r="AV69" s="50"/>
      <c r="AW69" s="50"/>
      <c r="AX69" s="50"/>
      <c r="AY69" s="50">
        <f t="shared" si="14"/>
        <v>5230.4466666666676</v>
      </c>
      <c r="AZ69" s="50"/>
      <c r="BA69" s="71">
        <f t="array" ref="BA69">SUM(ROUND(AA69:AI69,0),ROUND(AK69:AK69,0),ROUND(AM69:AM69,0),ROUND(AO69:AO69,0),ROUND(AQ69:AZ69,0))</f>
        <v>74798</v>
      </c>
    </row>
    <row r="70" spans="1:53" s="20" customFormat="1" ht="12" thickBot="1" x14ac:dyDescent="0.25">
      <c r="A70" s="72">
        <v>32</v>
      </c>
      <c r="B70" s="73" t="s">
        <v>165</v>
      </c>
      <c r="C70" s="73" t="s">
        <v>166</v>
      </c>
      <c r="D70" s="74" t="s">
        <v>77</v>
      </c>
      <c r="E70" s="74" t="s">
        <v>83</v>
      </c>
      <c r="F70" s="73" t="s">
        <v>167</v>
      </c>
      <c r="G70" s="74" t="s">
        <v>84</v>
      </c>
      <c r="H70" s="75" t="s">
        <v>85</v>
      </c>
      <c r="I70" s="76">
        <v>5.16</v>
      </c>
      <c r="J70" s="77">
        <f t="shared" si="1"/>
        <v>91316.52</v>
      </c>
      <c r="K70" s="78">
        <v>1.25</v>
      </c>
      <c r="L70" s="77">
        <f t="shared" si="2"/>
        <v>114145.65000000001</v>
      </c>
      <c r="M70" s="79"/>
      <c r="N70" s="77">
        <v>17697</v>
      </c>
      <c r="O70" s="78"/>
      <c r="P70" s="78">
        <v>15</v>
      </c>
      <c r="Q70" s="78">
        <v>5</v>
      </c>
      <c r="R70" s="80" t="str">
        <f t="shared" si="11"/>
        <v/>
      </c>
      <c r="S70" s="80">
        <f t="shared" si="12"/>
        <v>95121.375</v>
      </c>
      <c r="T70" s="80">
        <f t="shared" si="13"/>
        <v>31707.125</v>
      </c>
      <c r="U70" s="78"/>
      <c r="V70" s="77"/>
      <c r="W70" s="78">
        <v>9</v>
      </c>
      <c r="X70" s="77">
        <f>N70*0.4/18*W70</f>
        <v>3539.3999999999996</v>
      </c>
      <c r="Y70" s="78">
        <v>3</v>
      </c>
      <c r="Z70" s="77">
        <f>N70*0.4/18*Y70</f>
        <v>1179.8</v>
      </c>
      <c r="AA70" s="80">
        <f t="shared" si="9"/>
        <v>131547.69999999998</v>
      </c>
      <c r="AB70" s="77"/>
      <c r="AC70" s="77"/>
      <c r="AD70" s="77"/>
      <c r="AE70" s="77"/>
      <c r="AF70" s="77">
        <f>N70*0.6</f>
        <v>10618.199999999999</v>
      </c>
      <c r="AG70" s="77">
        <f>N70*0.2</f>
        <v>3539.4</v>
      </c>
      <c r="AH70" s="77"/>
      <c r="AI70" s="77">
        <f>N70*0.2*20/18</f>
        <v>3932.6666666666665</v>
      </c>
      <c r="AJ70" s="78"/>
      <c r="AK70" s="81"/>
      <c r="AL70" s="78">
        <v>15</v>
      </c>
      <c r="AM70" s="81">
        <f t="shared" si="17"/>
        <v>28536.412499999999</v>
      </c>
      <c r="AN70" s="78">
        <v>5</v>
      </c>
      <c r="AO70" s="81">
        <f>L70*0.3*AN70/18</f>
        <v>9512.1375000000007</v>
      </c>
      <c r="AP70" s="78">
        <v>20</v>
      </c>
      <c r="AQ70" s="81"/>
      <c r="AR70" s="81">
        <f>L70*0.4*AP70/18</f>
        <v>50731.400000000009</v>
      </c>
      <c r="AS70" s="81"/>
      <c r="AT70" s="81"/>
      <c r="AU70" s="81">
        <f>N70*2</f>
        <v>35394</v>
      </c>
      <c r="AV70" s="81"/>
      <c r="AW70" s="81"/>
      <c r="AX70" s="81"/>
      <c r="AY70" s="81">
        <f t="shared" si="14"/>
        <v>12682.850000000002</v>
      </c>
      <c r="AZ70" s="81"/>
      <c r="BA70" s="71">
        <f t="array" ref="BA70">SUM(ROUND(AA70:AI70,0),ROUND(AK70:AK70,0),ROUND(AM70:AM70,0),ROUND(AO70:AO70,0),ROUND(AQ70:AZ70,0))</f>
        <v>286494</v>
      </c>
    </row>
    <row r="71" spans="1:53" s="20" customFormat="1" ht="12" thickBot="1" x14ac:dyDescent="0.25">
      <c r="A71" s="72">
        <v>33</v>
      </c>
      <c r="B71" s="73" t="s">
        <v>168</v>
      </c>
      <c r="C71" s="73" t="s">
        <v>169</v>
      </c>
      <c r="D71" s="74" t="s">
        <v>77</v>
      </c>
      <c r="E71" s="74" t="s">
        <v>83</v>
      </c>
      <c r="F71" s="73" t="s">
        <v>145</v>
      </c>
      <c r="G71" s="74" t="s">
        <v>84</v>
      </c>
      <c r="H71" s="75" t="s">
        <v>85</v>
      </c>
      <c r="I71" s="76">
        <v>5.41</v>
      </c>
      <c r="J71" s="77">
        <f t="shared" si="1"/>
        <v>95740.77</v>
      </c>
      <c r="K71" s="78">
        <v>1.25</v>
      </c>
      <c r="L71" s="77">
        <f t="shared" si="2"/>
        <v>119675.96250000001</v>
      </c>
      <c r="M71" s="79"/>
      <c r="N71" s="77">
        <v>17697</v>
      </c>
      <c r="O71" s="78"/>
      <c r="P71" s="78">
        <v>17</v>
      </c>
      <c r="Q71" s="78">
        <v>11</v>
      </c>
      <c r="R71" s="80" t="str">
        <f t="shared" si="11"/>
        <v/>
      </c>
      <c r="S71" s="80">
        <f t="shared" si="12"/>
        <v>113027.29791666668</v>
      </c>
      <c r="T71" s="80">
        <f t="shared" si="13"/>
        <v>73135.310416666674</v>
      </c>
      <c r="U71" s="78"/>
      <c r="V71" s="77"/>
      <c r="W71" s="78"/>
      <c r="X71" s="77"/>
      <c r="Y71" s="78"/>
      <c r="Z71" s="77"/>
      <c r="AA71" s="80">
        <f t="shared" si="9"/>
        <v>186162.60833333334</v>
      </c>
      <c r="AB71" s="77"/>
      <c r="AC71" s="77"/>
      <c r="AD71" s="77"/>
      <c r="AE71" s="77"/>
      <c r="AF71" s="77"/>
      <c r="AG71" s="77"/>
      <c r="AH71" s="77"/>
      <c r="AI71" s="77">
        <f>N71*0.2*28/18</f>
        <v>5505.7333333333336</v>
      </c>
      <c r="AJ71" s="78"/>
      <c r="AK71" s="81"/>
      <c r="AL71" s="78">
        <v>17</v>
      </c>
      <c r="AM71" s="81">
        <f t="shared" si="17"/>
        <v>33908.189374999994</v>
      </c>
      <c r="AN71" s="78">
        <v>11</v>
      </c>
      <c r="AO71" s="81">
        <f>L71*0.3*AN71/18</f>
        <v>21940.593124999999</v>
      </c>
      <c r="AP71" s="78">
        <v>28</v>
      </c>
      <c r="AQ71" s="81"/>
      <c r="AR71" s="81">
        <f>L71*0.4*AP71/18</f>
        <v>74465.043333333349</v>
      </c>
      <c r="AS71" s="81"/>
      <c r="AT71" s="81"/>
      <c r="AU71" s="81"/>
      <c r="AV71" s="81"/>
      <c r="AW71" s="81"/>
      <c r="AX71" s="81"/>
      <c r="AY71" s="81">
        <f t="shared" si="14"/>
        <v>18616.260833333337</v>
      </c>
      <c r="AZ71" s="81"/>
      <c r="BA71" s="71">
        <f t="array" ref="BA71">SUM(ROUND(AA71:AI71,0),ROUND(AK71:AK71,0),ROUND(AM71:AM71,0),ROUND(AO71:AO71,0),ROUND(AQ71:AZ71,0))</f>
        <v>340599</v>
      </c>
    </row>
    <row r="72" spans="1:53" s="20" customFormat="1" ht="12" thickBot="1" x14ac:dyDescent="0.25">
      <c r="A72" s="72">
        <v>34</v>
      </c>
      <c r="B72" s="73" t="s">
        <v>170</v>
      </c>
      <c r="C72" s="73" t="s">
        <v>171</v>
      </c>
      <c r="D72" s="74" t="s">
        <v>77</v>
      </c>
      <c r="E72" s="74">
        <v>2</v>
      </c>
      <c r="F72" s="73" t="s">
        <v>172</v>
      </c>
      <c r="G72" s="74" t="s">
        <v>84</v>
      </c>
      <c r="H72" s="75" t="s">
        <v>81</v>
      </c>
      <c r="I72" s="76">
        <v>5.08</v>
      </c>
      <c r="J72" s="77">
        <f t="shared" si="1"/>
        <v>89900.76</v>
      </c>
      <c r="K72" s="78">
        <v>1.25</v>
      </c>
      <c r="L72" s="77">
        <f t="shared" si="2"/>
        <v>112375.95</v>
      </c>
      <c r="M72" s="79"/>
      <c r="N72" s="77">
        <v>17697</v>
      </c>
      <c r="O72" s="78"/>
      <c r="P72" s="78">
        <v>22</v>
      </c>
      <c r="Q72" s="78"/>
      <c r="R72" s="80" t="str">
        <f t="shared" si="11"/>
        <v/>
      </c>
      <c r="S72" s="80">
        <f t="shared" si="12"/>
        <v>137348.38333333333</v>
      </c>
      <c r="T72" s="80" t="str">
        <f t="shared" si="13"/>
        <v/>
      </c>
      <c r="U72" s="78"/>
      <c r="V72" s="77"/>
      <c r="W72" s="78"/>
      <c r="X72" s="77"/>
      <c r="Y72" s="78"/>
      <c r="Z72" s="77"/>
      <c r="AA72" s="80">
        <f t="shared" si="9"/>
        <v>137348.38333333333</v>
      </c>
      <c r="AB72" s="77"/>
      <c r="AC72" s="77"/>
      <c r="AD72" s="77"/>
      <c r="AE72" s="77"/>
      <c r="AF72" s="77">
        <f>N72*0.6</f>
        <v>10618.199999999999</v>
      </c>
      <c r="AG72" s="77">
        <f>N72*0.2</f>
        <v>3539.4</v>
      </c>
      <c r="AH72" s="77"/>
      <c r="AI72" s="77">
        <f>N72*0.2*22/18</f>
        <v>4325.9333333333334</v>
      </c>
      <c r="AJ72" s="78"/>
      <c r="AK72" s="81"/>
      <c r="AL72" s="78">
        <v>22</v>
      </c>
      <c r="AM72" s="81">
        <f t="shared" si="17"/>
        <v>41204.514999999992</v>
      </c>
      <c r="AN72" s="78"/>
      <c r="AO72" s="81"/>
      <c r="AP72" s="78">
        <v>22</v>
      </c>
      <c r="AQ72" s="81"/>
      <c r="AR72" s="81"/>
      <c r="AS72" s="81"/>
      <c r="AT72" s="81">
        <f>L72*0.3*AP72/18</f>
        <v>41204.514999999992</v>
      </c>
      <c r="AU72" s="81"/>
      <c r="AV72" s="81"/>
      <c r="AW72" s="81"/>
      <c r="AX72" s="81"/>
      <c r="AY72" s="81">
        <f t="shared" si="14"/>
        <v>13734.838333333335</v>
      </c>
      <c r="AZ72" s="81"/>
      <c r="BA72" s="71">
        <f t="array" ref="BA72">SUM(ROUND(AA72:AI72,0),ROUND(AK72:AK72,0),ROUND(AM72:AM72,0),ROUND(AO72:AO72,0),ROUND(AQ72:AZ72,0))</f>
        <v>251976</v>
      </c>
    </row>
    <row r="73" spans="1:53" s="20" customFormat="1" ht="12" thickBot="1" x14ac:dyDescent="0.25">
      <c r="A73" s="84">
        <v>35</v>
      </c>
      <c r="B73" s="82" t="s">
        <v>173</v>
      </c>
      <c r="C73" s="53" t="s">
        <v>174</v>
      </c>
      <c r="D73" s="54" t="s">
        <v>137</v>
      </c>
      <c r="E73" s="54">
        <v>2</v>
      </c>
      <c r="F73" s="53" t="s">
        <v>175</v>
      </c>
      <c r="G73" s="54" t="s">
        <v>139</v>
      </c>
      <c r="H73" s="55" t="s">
        <v>81</v>
      </c>
      <c r="I73" s="56">
        <v>4.29</v>
      </c>
      <c r="J73" s="57">
        <f t="shared" si="1"/>
        <v>75920.13</v>
      </c>
      <c r="K73" s="58">
        <v>1.25</v>
      </c>
      <c r="L73" s="57">
        <f t="shared" si="2"/>
        <v>94900.162500000006</v>
      </c>
      <c r="M73" s="59"/>
      <c r="N73" s="57">
        <v>17697</v>
      </c>
      <c r="O73" s="58"/>
      <c r="P73" s="58">
        <v>18</v>
      </c>
      <c r="Q73" s="58"/>
      <c r="R73" s="60" t="str">
        <f t="shared" si="11"/>
        <v/>
      </c>
      <c r="S73" s="60">
        <f t="shared" si="12"/>
        <v>94900.162500000006</v>
      </c>
      <c r="T73" s="60" t="str">
        <f t="shared" si="13"/>
        <v/>
      </c>
      <c r="U73" s="58"/>
      <c r="V73" s="57"/>
      <c r="W73" s="58"/>
      <c r="X73" s="57"/>
      <c r="Y73" s="58"/>
      <c r="Z73" s="57"/>
      <c r="AA73" s="60">
        <f t="shared" si="9"/>
        <v>94900.162500000006</v>
      </c>
      <c r="AB73" s="57"/>
      <c r="AC73" s="57"/>
      <c r="AD73" s="57"/>
      <c r="AE73" s="57"/>
      <c r="AF73" s="57"/>
      <c r="AG73" s="57">
        <f>N73*0.2</f>
        <v>3539.4</v>
      </c>
      <c r="AH73" s="57"/>
      <c r="AI73" s="57">
        <f>N73*0.2*18/18</f>
        <v>3539.4</v>
      </c>
      <c r="AJ73" s="58"/>
      <c r="AK73" s="61"/>
      <c r="AL73" s="58">
        <v>18</v>
      </c>
      <c r="AM73" s="61">
        <f t="shared" si="17"/>
        <v>28470.048750000002</v>
      </c>
      <c r="AN73" s="58"/>
      <c r="AO73" s="61"/>
      <c r="AP73" s="58">
        <v>18</v>
      </c>
      <c r="AQ73" s="61"/>
      <c r="AR73" s="61"/>
      <c r="AS73" s="61"/>
      <c r="AT73" s="61">
        <f>L73*0.3*AP73/18</f>
        <v>28470.048750000002</v>
      </c>
      <c r="AU73" s="61"/>
      <c r="AV73" s="61"/>
      <c r="AW73" s="61"/>
      <c r="AX73" s="61"/>
      <c r="AY73" s="61">
        <f t="shared" si="14"/>
        <v>9490.0162500000006</v>
      </c>
      <c r="AZ73" s="61"/>
      <c r="BA73" s="71">
        <f t="array" ref="BA73">SUM(ROUND(AA73:AI73,0),ROUND(AK73:AK73,0),ROUND(AM73:AM73,0),ROUND(AO73:AO73,0),ROUND(AQ73:AZ73,0))</f>
        <v>168408</v>
      </c>
    </row>
    <row r="74" spans="1:53" s="20" customFormat="1" ht="12" thickBot="1" x14ac:dyDescent="0.25">
      <c r="A74" s="87"/>
      <c r="B74" s="86"/>
      <c r="C74" s="42" t="s">
        <v>176</v>
      </c>
      <c r="D74" s="43" t="s">
        <v>137</v>
      </c>
      <c r="E74" s="43">
        <v>1</v>
      </c>
      <c r="F74" s="42" t="s">
        <v>175</v>
      </c>
      <c r="G74" s="43" t="s">
        <v>139</v>
      </c>
      <c r="H74" s="44" t="s">
        <v>91</v>
      </c>
      <c r="I74" s="45">
        <v>4.3899999999999997</v>
      </c>
      <c r="J74" s="46">
        <f t="shared" si="1"/>
        <v>77689.829999999987</v>
      </c>
      <c r="K74" s="47">
        <v>1.25</v>
      </c>
      <c r="L74" s="46">
        <f t="shared" si="2"/>
        <v>97112.287499999977</v>
      </c>
      <c r="M74" s="48"/>
      <c r="N74" s="46">
        <v>17697</v>
      </c>
      <c r="O74" s="47"/>
      <c r="P74" s="47">
        <v>6</v>
      </c>
      <c r="Q74" s="47"/>
      <c r="R74" s="49" t="str">
        <f t="shared" si="11"/>
        <v/>
      </c>
      <c r="S74" s="49">
        <f t="shared" si="12"/>
        <v>32370.76249999999</v>
      </c>
      <c r="T74" s="49" t="str">
        <f t="shared" si="13"/>
        <v/>
      </c>
      <c r="U74" s="47"/>
      <c r="V74" s="46"/>
      <c r="W74" s="47"/>
      <c r="X74" s="46"/>
      <c r="Y74" s="47"/>
      <c r="Z74" s="46"/>
      <c r="AA74" s="49">
        <f t="shared" si="9"/>
        <v>32370.76249999999</v>
      </c>
      <c r="AB74" s="46"/>
      <c r="AC74" s="46"/>
      <c r="AD74" s="46"/>
      <c r="AE74" s="46"/>
      <c r="AF74" s="46"/>
      <c r="AG74" s="46"/>
      <c r="AH74" s="46"/>
      <c r="AI74" s="46">
        <f>N74*0.2*6/18</f>
        <v>1179.8000000000002</v>
      </c>
      <c r="AJ74" s="47"/>
      <c r="AK74" s="50"/>
      <c r="AL74" s="47">
        <v>6</v>
      </c>
      <c r="AM74" s="50">
        <f t="shared" si="17"/>
        <v>9711.2287499999966</v>
      </c>
      <c r="AN74" s="47"/>
      <c r="AO74" s="50"/>
      <c r="AP74" s="47"/>
      <c r="AQ74" s="50"/>
      <c r="AR74" s="50"/>
      <c r="AS74" s="50"/>
      <c r="AT74" s="50"/>
      <c r="AU74" s="50"/>
      <c r="AV74" s="50"/>
      <c r="AW74" s="50"/>
      <c r="AX74" s="50"/>
      <c r="AY74" s="50">
        <f t="shared" si="14"/>
        <v>3237.0762499999996</v>
      </c>
      <c r="AZ74" s="50"/>
      <c r="BA74" s="71">
        <f t="array" ref="BA74">SUM(ROUND(AA74:AI74,0),ROUND(AK74:AK74,0),ROUND(AM74:AM74,0),ROUND(AO74:AO74,0),ROUND(AQ74:AZ74,0))</f>
        <v>46499</v>
      </c>
    </row>
    <row r="75" spans="1:53" s="20" customFormat="1" ht="12" thickBot="1" x14ac:dyDescent="0.25">
      <c r="A75" s="84">
        <v>36</v>
      </c>
      <c r="B75" s="82" t="s">
        <v>177</v>
      </c>
      <c r="C75" s="53" t="s">
        <v>178</v>
      </c>
      <c r="D75" s="54" t="s">
        <v>77</v>
      </c>
      <c r="E75" s="54">
        <v>2</v>
      </c>
      <c r="F75" s="53" t="s">
        <v>179</v>
      </c>
      <c r="G75" s="54" t="s">
        <v>84</v>
      </c>
      <c r="H75" s="55" t="s">
        <v>81</v>
      </c>
      <c r="I75" s="56">
        <v>5.16</v>
      </c>
      <c r="J75" s="57">
        <f t="shared" si="1"/>
        <v>91316.52</v>
      </c>
      <c r="K75" s="58">
        <v>1.25</v>
      </c>
      <c r="L75" s="57">
        <f t="shared" si="2"/>
        <v>114145.65000000001</v>
      </c>
      <c r="M75" s="59"/>
      <c r="N75" s="57">
        <v>17697</v>
      </c>
      <c r="O75" s="58">
        <v>15</v>
      </c>
      <c r="P75" s="58"/>
      <c r="Q75" s="58"/>
      <c r="R75" s="60">
        <f t="shared" si="11"/>
        <v>95121.375</v>
      </c>
      <c r="S75" s="60" t="str">
        <f t="shared" si="12"/>
        <v/>
      </c>
      <c r="T75" s="60" t="str">
        <f t="shared" si="13"/>
        <v/>
      </c>
      <c r="U75" s="58"/>
      <c r="V75" s="57"/>
      <c r="W75" s="58"/>
      <c r="X75" s="57"/>
      <c r="Y75" s="58"/>
      <c r="Z75" s="57"/>
      <c r="AA75" s="60">
        <f t="shared" si="9"/>
        <v>95121.375</v>
      </c>
      <c r="AB75" s="57"/>
      <c r="AC75" s="57"/>
      <c r="AD75" s="57"/>
      <c r="AE75" s="57"/>
      <c r="AF75" s="57"/>
      <c r="AG75" s="57"/>
      <c r="AH75" s="57"/>
      <c r="AI75" s="57">
        <f>N75*0.2*11/18</f>
        <v>2162.9666666666667</v>
      </c>
      <c r="AJ75" s="58">
        <v>15</v>
      </c>
      <c r="AK75" s="61">
        <f>L75*0.3*AJ75/18</f>
        <v>28536.412499999999</v>
      </c>
      <c r="AL75" s="58"/>
      <c r="AM75" s="61"/>
      <c r="AN75" s="58"/>
      <c r="AO75" s="61"/>
      <c r="AP75" s="58"/>
      <c r="AQ75" s="61"/>
      <c r="AR75" s="61"/>
      <c r="AS75" s="61"/>
      <c r="AT75" s="61"/>
      <c r="AU75" s="61"/>
      <c r="AV75" s="61"/>
      <c r="AW75" s="61"/>
      <c r="AX75" s="61"/>
      <c r="AY75" s="61">
        <f t="shared" si="14"/>
        <v>9512.1375000000025</v>
      </c>
      <c r="AZ75" s="61"/>
      <c r="BA75" s="71">
        <f t="array" ref="BA75">SUM(ROUND(AA75:AI75,0),ROUND(AK75:AK75,0),ROUND(AM75:AM75,0),ROUND(AO75:AO75,0),ROUND(AQ75:AZ75,0))</f>
        <v>135332</v>
      </c>
    </row>
    <row r="76" spans="1:53" s="20" customFormat="1" ht="12" thickBot="1" x14ac:dyDescent="0.25">
      <c r="A76" s="87"/>
      <c r="B76" s="86"/>
      <c r="C76" s="42" t="s">
        <v>97</v>
      </c>
      <c r="D76" s="43" t="s">
        <v>77</v>
      </c>
      <c r="E76" s="43">
        <v>2</v>
      </c>
      <c r="F76" s="42" t="s">
        <v>179</v>
      </c>
      <c r="G76" s="43" t="s">
        <v>84</v>
      </c>
      <c r="H76" s="44" t="s">
        <v>81</v>
      </c>
      <c r="I76" s="45">
        <v>5.16</v>
      </c>
      <c r="J76" s="46">
        <f t="shared" si="1"/>
        <v>91316.52</v>
      </c>
      <c r="K76" s="47">
        <v>1.25</v>
      </c>
      <c r="L76" s="46">
        <f t="shared" si="2"/>
        <v>114145.65000000001</v>
      </c>
      <c r="M76" s="48"/>
      <c r="N76" s="46">
        <v>17697</v>
      </c>
      <c r="O76" s="47">
        <v>5</v>
      </c>
      <c r="P76" s="47"/>
      <c r="Q76" s="47"/>
      <c r="R76" s="49">
        <f t="shared" si="11"/>
        <v>31707.125</v>
      </c>
      <c r="S76" s="49" t="str">
        <f t="shared" si="12"/>
        <v/>
      </c>
      <c r="T76" s="49" t="str">
        <f t="shared" si="13"/>
        <v/>
      </c>
      <c r="U76" s="47"/>
      <c r="V76" s="46"/>
      <c r="W76" s="47"/>
      <c r="X76" s="46"/>
      <c r="Y76" s="47"/>
      <c r="Z76" s="46"/>
      <c r="AA76" s="49">
        <f t="shared" ref="AA76:AA107" si="18">SUM(R76:T76,V76,X76,Z76)</f>
        <v>31707.125</v>
      </c>
      <c r="AB76" s="46"/>
      <c r="AC76" s="46"/>
      <c r="AD76" s="46"/>
      <c r="AE76" s="46"/>
      <c r="AF76" s="46"/>
      <c r="AG76" s="46"/>
      <c r="AH76" s="46"/>
      <c r="AI76" s="46">
        <f>N76*0.2*2/18</f>
        <v>393.26666666666665</v>
      </c>
      <c r="AJ76" s="47">
        <v>5</v>
      </c>
      <c r="AK76" s="50">
        <f>L76*0.3*AJ76/18</f>
        <v>9512.1375000000007</v>
      </c>
      <c r="AL76" s="47"/>
      <c r="AM76" s="50"/>
      <c r="AN76" s="47"/>
      <c r="AO76" s="50"/>
      <c r="AP76" s="47"/>
      <c r="AQ76" s="50"/>
      <c r="AR76" s="50"/>
      <c r="AS76" s="50"/>
      <c r="AT76" s="50"/>
      <c r="AU76" s="50"/>
      <c r="AV76" s="50"/>
      <c r="AW76" s="50"/>
      <c r="AX76" s="50"/>
      <c r="AY76" s="50">
        <f t="shared" si="14"/>
        <v>3170.7125000000005</v>
      </c>
      <c r="AZ76" s="50"/>
      <c r="BA76" s="71">
        <f t="array" ref="BA76">SUM(ROUND(AA76:AI76,0),ROUND(AK76:AK76,0),ROUND(AM76:AM76,0),ROUND(AO76:AO76,0),ROUND(AQ76:AZ76,0))</f>
        <v>44783</v>
      </c>
    </row>
    <row r="77" spans="1:53" s="20" customFormat="1" ht="12" thickBot="1" x14ac:dyDescent="0.25">
      <c r="A77" s="72">
        <v>37</v>
      </c>
      <c r="B77" s="73" t="s">
        <v>180</v>
      </c>
      <c r="C77" s="73" t="s">
        <v>181</v>
      </c>
      <c r="D77" s="74" t="s">
        <v>77</v>
      </c>
      <c r="E77" s="74" t="s">
        <v>78</v>
      </c>
      <c r="F77" s="73" t="s">
        <v>182</v>
      </c>
      <c r="G77" s="74" t="s">
        <v>84</v>
      </c>
      <c r="H77" s="75" t="s">
        <v>96</v>
      </c>
      <c r="I77" s="76">
        <v>4.67</v>
      </c>
      <c r="J77" s="77">
        <f t="shared" ref="J77:J119" si="19">N77*I77</f>
        <v>82644.990000000005</v>
      </c>
      <c r="K77" s="78">
        <v>1.25</v>
      </c>
      <c r="L77" s="77">
        <f t="shared" ref="L77:L119" si="20">J77*K77</f>
        <v>103306.2375</v>
      </c>
      <c r="M77" s="79"/>
      <c r="N77" s="77">
        <v>17697</v>
      </c>
      <c r="O77" s="78"/>
      <c r="P77" s="78">
        <v>30</v>
      </c>
      <c r="Q77" s="78"/>
      <c r="R77" s="80" t="str">
        <f t="shared" si="11"/>
        <v/>
      </c>
      <c r="S77" s="80">
        <f t="shared" si="12"/>
        <v>172177.0625</v>
      </c>
      <c r="T77" s="80" t="str">
        <f t="shared" si="13"/>
        <v/>
      </c>
      <c r="U77" s="78"/>
      <c r="V77" s="77"/>
      <c r="W77" s="78">
        <v>25</v>
      </c>
      <c r="X77" s="77">
        <f>N77*0.5/18*W77</f>
        <v>12289.583333333332</v>
      </c>
      <c r="Y77" s="78"/>
      <c r="Z77" s="77"/>
      <c r="AA77" s="80">
        <f t="shared" si="18"/>
        <v>184466.64583333334</v>
      </c>
      <c r="AB77" s="77"/>
      <c r="AC77" s="77"/>
      <c r="AD77" s="77"/>
      <c r="AE77" s="77"/>
      <c r="AF77" s="77">
        <f>N77*0.6</f>
        <v>10618.199999999999</v>
      </c>
      <c r="AG77" s="77"/>
      <c r="AH77" s="77"/>
      <c r="AI77" s="77">
        <f>N77*0.2*30/18</f>
        <v>5899</v>
      </c>
      <c r="AJ77" s="78"/>
      <c r="AK77" s="81"/>
      <c r="AL77" s="78">
        <v>30</v>
      </c>
      <c r="AM77" s="81">
        <f>L77*0.3*AL77/18</f>
        <v>51653.118749999994</v>
      </c>
      <c r="AN77" s="78"/>
      <c r="AO77" s="81"/>
      <c r="AP77" s="78"/>
      <c r="AQ77" s="81"/>
      <c r="AR77" s="81"/>
      <c r="AS77" s="81"/>
      <c r="AT77" s="81"/>
      <c r="AU77" s="81"/>
      <c r="AV77" s="81"/>
      <c r="AW77" s="81"/>
      <c r="AX77" s="81"/>
      <c r="AY77" s="81">
        <f t="shared" si="14"/>
        <v>17217.706250000003</v>
      </c>
      <c r="AZ77" s="81"/>
      <c r="BA77" s="71">
        <f t="array" ref="BA77">SUM(ROUND(AA77:AI77,0),ROUND(AK77:AK77,0),ROUND(AM77:AM77,0),ROUND(AO77:AO77,0),ROUND(AQ77:AZ77,0))</f>
        <v>269855</v>
      </c>
    </row>
    <row r="78" spans="1:53" s="20" customFormat="1" ht="12" thickBot="1" x14ac:dyDescent="0.25">
      <c r="A78" s="72">
        <v>38</v>
      </c>
      <c r="B78" s="73" t="s">
        <v>183</v>
      </c>
      <c r="C78" s="73" t="s">
        <v>181</v>
      </c>
      <c r="D78" s="74" t="s">
        <v>77</v>
      </c>
      <c r="E78" s="74" t="s">
        <v>83</v>
      </c>
      <c r="F78" s="73" t="s">
        <v>184</v>
      </c>
      <c r="G78" s="74" t="s">
        <v>84</v>
      </c>
      <c r="H78" s="75" t="s">
        <v>85</v>
      </c>
      <c r="I78" s="76">
        <v>5.41</v>
      </c>
      <c r="J78" s="77">
        <f t="shared" si="19"/>
        <v>95740.77</v>
      </c>
      <c r="K78" s="78">
        <v>1.25</v>
      </c>
      <c r="L78" s="77">
        <f t="shared" si="20"/>
        <v>119675.96250000001</v>
      </c>
      <c r="M78" s="79"/>
      <c r="N78" s="77">
        <v>17697</v>
      </c>
      <c r="O78" s="78"/>
      <c r="P78" s="78">
        <v>18</v>
      </c>
      <c r="Q78" s="78">
        <v>11</v>
      </c>
      <c r="R78" s="80" t="str">
        <f t="shared" si="11"/>
        <v/>
      </c>
      <c r="S78" s="80">
        <f t="shared" si="12"/>
        <v>119675.96250000001</v>
      </c>
      <c r="T78" s="80">
        <f t="shared" si="13"/>
        <v>73135.310416666674</v>
      </c>
      <c r="U78" s="78"/>
      <c r="V78" s="77"/>
      <c r="W78" s="78">
        <v>15</v>
      </c>
      <c r="X78" s="77">
        <f>N78*0.5/18*W78</f>
        <v>7373.75</v>
      </c>
      <c r="Y78" s="78">
        <v>10</v>
      </c>
      <c r="Z78" s="77">
        <f>N78*0.5/18*Y78</f>
        <v>4915.833333333333</v>
      </c>
      <c r="AA78" s="80">
        <f t="shared" si="18"/>
        <v>205100.85625000004</v>
      </c>
      <c r="AB78" s="77"/>
      <c r="AC78" s="77"/>
      <c r="AD78" s="77"/>
      <c r="AE78" s="77"/>
      <c r="AF78" s="77">
        <f>N78*0.6</f>
        <v>10618.199999999999</v>
      </c>
      <c r="AG78" s="77"/>
      <c r="AH78" s="77"/>
      <c r="AI78" s="77">
        <f>N78*0.2*29/18</f>
        <v>5702.3666666666668</v>
      </c>
      <c r="AJ78" s="78"/>
      <c r="AK78" s="81"/>
      <c r="AL78" s="78">
        <v>18</v>
      </c>
      <c r="AM78" s="81">
        <f>L78*0.3*AL78/18</f>
        <v>35902.78875</v>
      </c>
      <c r="AN78" s="78">
        <v>11</v>
      </c>
      <c r="AO78" s="81">
        <f>L78*0.3*AN78/18</f>
        <v>21940.593124999999</v>
      </c>
      <c r="AP78" s="78"/>
      <c r="AQ78" s="81"/>
      <c r="AR78" s="81"/>
      <c r="AS78" s="81"/>
      <c r="AT78" s="81"/>
      <c r="AU78" s="81"/>
      <c r="AV78" s="81"/>
      <c r="AW78" s="81"/>
      <c r="AX78" s="81"/>
      <c r="AY78" s="81">
        <f t="shared" si="14"/>
        <v>19281.127291666671</v>
      </c>
      <c r="AZ78" s="81"/>
      <c r="BA78" s="71">
        <f t="array" ref="BA78">SUM(ROUND(AA78:AI78,0),ROUND(AK78:AK78,0),ROUND(AM78:AM78,0),ROUND(AO78:AO78,0),ROUND(AQ78:AZ78,0))</f>
        <v>298546</v>
      </c>
    </row>
    <row r="79" spans="1:53" s="20" customFormat="1" ht="12" thickBot="1" x14ac:dyDescent="0.25">
      <c r="A79" s="72">
        <v>39</v>
      </c>
      <c r="B79" s="73" t="s">
        <v>185</v>
      </c>
      <c r="C79" s="73" t="s">
        <v>181</v>
      </c>
      <c r="D79" s="74" t="s">
        <v>77</v>
      </c>
      <c r="E79" s="74" t="s">
        <v>83</v>
      </c>
      <c r="F79" s="73" t="s">
        <v>186</v>
      </c>
      <c r="G79" s="74" t="s">
        <v>84</v>
      </c>
      <c r="H79" s="75" t="s">
        <v>85</v>
      </c>
      <c r="I79" s="76">
        <v>5.41</v>
      </c>
      <c r="J79" s="77">
        <f t="shared" si="19"/>
        <v>95740.77</v>
      </c>
      <c r="K79" s="78">
        <v>1.25</v>
      </c>
      <c r="L79" s="77">
        <f t="shared" si="20"/>
        <v>119675.96250000001</v>
      </c>
      <c r="M79" s="79"/>
      <c r="N79" s="77">
        <v>17697</v>
      </c>
      <c r="O79" s="78"/>
      <c r="P79" s="78">
        <v>26</v>
      </c>
      <c r="Q79" s="78">
        <v>5.5</v>
      </c>
      <c r="R79" s="80" t="str">
        <f t="shared" si="11"/>
        <v/>
      </c>
      <c r="S79" s="80">
        <f t="shared" si="12"/>
        <v>172865.27916666667</v>
      </c>
      <c r="T79" s="80">
        <f t="shared" si="13"/>
        <v>36567.655208333337</v>
      </c>
      <c r="U79" s="78"/>
      <c r="V79" s="77"/>
      <c r="W79" s="78">
        <v>20</v>
      </c>
      <c r="X79" s="77">
        <f>N79*0.5/18*W79</f>
        <v>9831.6666666666661</v>
      </c>
      <c r="Y79" s="78">
        <v>5</v>
      </c>
      <c r="Z79" s="77">
        <f>N79*0.5/18*Y79</f>
        <v>2457.9166666666665</v>
      </c>
      <c r="AA79" s="80">
        <f t="shared" si="18"/>
        <v>221722.51770833333</v>
      </c>
      <c r="AB79" s="77"/>
      <c r="AC79" s="77"/>
      <c r="AD79" s="77"/>
      <c r="AE79" s="77"/>
      <c r="AF79" s="77"/>
      <c r="AG79" s="77"/>
      <c r="AH79" s="77"/>
      <c r="AI79" s="77">
        <f>N79*0.2*31.5/18</f>
        <v>6193.9500000000007</v>
      </c>
      <c r="AJ79" s="78"/>
      <c r="AK79" s="81"/>
      <c r="AL79" s="78">
        <v>26</v>
      </c>
      <c r="AM79" s="81">
        <f>L79*0.3*AL79/18</f>
        <v>51859.583749999998</v>
      </c>
      <c r="AN79" s="78">
        <v>5.5</v>
      </c>
      <c r="AO79" s="81">
        <f>L79*0.3*AN79/18</f>
        <v>10970.2965625</v>
      </c>
      <c r="AP79" s="78">
        <v>31.5</v>
      </c>
      <c r="AQ79" s="81"/>
      <c r="AR79" s="81">
        <f>L79*0.4*AP79/18</f>
        <v>83773.173750000016</v>
      </c>
      <c r="AS79" s="81"/>
      <c r="AT79" s="81"/>
      <c r="AU79" s="81"/>
      <c r="AV79" s="81"/>
      <c r="AW79" s="81"/>
      <c r="AX79" s="81"/>
      <c r="AY79" s="81">
        <f t="shared" si="14"/>
        <v>20943.293437500004</v>
      </c>
      <c r="AZ79" s="81"/>
      <c r="BA79" s="71">
        <f t="array" ref="BA79">SUM(ROUND(AA79:AI79,0),ROUND(AK79:AK79,0),ROUND(AM79:AM79,0),ROUND(AO79:AO79,0),ROUND(AQ79:AZ79,0))</f>
        <v>395463</v>
      </c>
    </row>
    <row r="80" spans="1:53" s="20" customFormat="1" ht="12" thickBot="1" x14ac:dyDescent="0.25">
      <c r="A80" s="72">
        <v>40</v>
      </c>
      <c r="B80" s="73" t="s">
        <v>187</v>
      </c>
      <c r="C80" s="73" t="s">
        <v>104</v>
      </c>
      <c r="D80" s="74" t="s">
        <v>77</v>
      </c>
      <c r="E80" s="74">
        <v>1</v>
      </c>
      <c r="F80" s="73" t="s">
        <v>188</v>
      </c>
      <c r="G80" s="74" t="s">
        <v>84</v>
      </c>
      <c r="H80" s="75" t="s">
        <v>91</v>
      </c>
      <c r="I80" s="76">
        <v>5.03</v>
      </c>
      <c r="J80" s="77">
        <f t="shared" si="19"/>
        <v>89015.91</v>
      </c>
      <c r="K80" s="78">
        <v>1.25</v>
      </c>
      <c r="L80" s="77">
        <f t="shared" si="20"/>
        <v>111269.88750000001</v>
      </c>
      <c r="M80" s="79"/>
      <c r="N80" s="77">
        <v>17697</v>
      </c>
      <c r="O80" s="78">
        <v>12</v>
      </c>
      <c r="P80" s="78">
        <v>15</v>
      </c>
      <c r="Q80" s="78"/>
      <c r="R80" s="80">
        <f t="shared" si="11"/>
        <v>74179.925000000017</v>
      </c>
      <c r="S80" s="80">
        <f t="shared" si="12"/>
        <v>92724.906250000015</v>
      </c>
      <c r="T80" s="80" t="str">
        <f t="shared" si="13"/>
        <v/>
      </c>
      <c r="U80" s="78">
        <v>12</v>
      </c>
      <c r="V80" s="77">
        <f>N80*0.5/18*U80</f>
        <v>5899</v>
      </c>
      <c r="W80" s="78">
        <v>15</v>
      </c>
      <c r="X80" s="77">
        <f>N80*0.5/18*W80</f>
        <v>7373.75</v>
      </c>
      <c r="Y80" s="78"/>
      <c r="Z80" s="77"/>
      <c r="AA80" s="80">
        <f t="shared" si="18"/>
        <v>180177.58125000005</v>
      </c>
      <c r="AB80" s="77"/>
      <c r="AC80" s="77"/>
      <c r="AD80" s="77"/>
      <c r="AE80" s="77"/>
      <c r="AF80" s="77"/>
      <c r="AG80" s="77"/>
      <c r="AH80" s="77"/>
      <c r="AI80" s="77">
        <f>N80*0.2*15/18</f>
        <v>2949.5</v>
      </c>
      <c r="AJ80" s="78">
        <v>12</v>
      </c>
      <c r="AK80" s="81">
        <f>L80*0.3*AJ80/18</f>
        <v>22253.977500000005</v>
      </c>
      <c r="AL80" s="78">
        <v>15</v>
      </c>
      <c r="AM80" s="81">
        <f>L80*0.3*AL80/18</f>
        <v>27817.471875000003</v>
      </c>
      <c r="AN80" s="78"/>
      <c r="AO80" s="81"/>
      <c r="AP80" s="78"/>
      <c r="AQ80" s="81"/>
      <c r="AR80" s="81"/>
      <c r="AS80" s="81"/>
      <c r="AT80" s="81"/>
      <c r="AU80" s="81"/>
      <c r="AV80" s="81"/>
      <c r="AW80" s="81"/>
      <c r="AX80" s="81"/>
      <c r="AY80" s="81">
        <f t="shared" si="14"/>
        <v>16690.483125000002</v>
      </c>
      <c r="AZ80" s="81"/>
      <c r="BA80" s="71">
        <f t="array" ref="BA80">SUM(ROUND(AA80:AI80,0),ROUND(AK80:AK80,0),ROUND(AM80:AM80,0),ROUND(AO80:AO80,0),ROUND(AQ80:AZ80,0))</f>
        <v>249889</v>
      </c>
    </row>
    <row r="81" spans="1:53" s="20" customFormat="1" ht="12" thickBot="1" x14ac:dyDescent="0.25">
      <c r="A81" s="72">
        <v>41</v>
      </c>
      <c r="B81" s="73" t="s">
        <v>189</v>
      </c>
      <c r="C81" s="73" t="s">
        <v>104</v>
      </c>
      <c r="D81" s="74" t="s">
        <v>77</v>
      </c>
      <c r="E81" s="74">
        <v>1</v>
      </c>
      <c r="F81" s="73" t="s">
        <v>190</v>
      </c>
      <c r="G81" s="74" t="s">
        <v>84</v>
      </c>
      <c r="H81" s="75" t="s">
        <v>91</v>
      </c>
      <c r="I81" s="76">
        <v>4.95</v>
      </c>
      <c r="J81" s="77">
        <f t="shared" si="19"/>
        <v>87600.150000000009</v>
      </c>
      <c r="K81" s="78">
        <v>1.25</v>
      </c>
      <c r="L81" s="77">
        <f t="shared" si="20"/>
        <v>109500.18750000001</v>
      </c>
      <c r="M81" s="79"/>
      <c r="N81" s="77">
        <v>17697</v>
      </c>
      <c r="O81" s="78">
        <v>8</v>
      </c>
      <c r="P81" s="78">
        <v>15</v>
      </c>
      <c r="Q81" s="78">
        <v>5</v>
      </c>
      <c r="R81" s="80">
        <f t="shared" si="11"/>
        <v>48666.750000000007</v>
      </c>
      <c r="S81" s="80">
        <f t="shared" si="12"/>
        <v>91250.156250000015</v>
      </c>
      <c r="T81" s="80">
        <f t="shared" si="13"/>
        <v>30416.718750000004</v>
      </c>
      <c r="U81" s="78">
        <v>8</v>
      </c>
      <c r="V81" s="77">
        <f>N81*0.5/18*U81</f>
        <v>3932.6666666666665</v>
      </c>
      <c r="W81" s="78">
        <v>15</v>
      </c>
      <c r="X81" s="77">
        <f>N81*0.5/18*W81</f>
        <v>7373.75</v>
      </c>
      <c r="Y81" s="78">
        <v>5</v>
      </c>
      <c r="Z81" s="77">
        <f>N81*0.5/18*Y81</f>
        <v>2457.9166666666665</v>
      </c>
      <c r="AA81" s="80">
        <f t="shared" si="18"/>
        <v>184097.95833333334</v>
      </c>
      <c r="AB81" s="77"/>
      <c r="AC81" s="77"/>
      <c r="AD81" s="77"/>
      <c r="AE81" s="77"/>
      <c r="AF81" s="77"/>
      <c r="AG81" s="77"/>
      <c r="AH81" s="77"/>
      <c r="AI81" s="77">
        <f>N81*0.2*20/18</f>
        <v>3932.6666666666665</v>
      </c>
      <c r="AJ81" s="78">
        <v>8</v>
      </c>
      <c r="AK81" s="81">
        <f>L81*0.3*AJ81/18</f>
        <v>14600.025000000001</v>
      </c>
      <c r="AL81" s="78">
        <v>15</v>
      </c>
      <c r="AM81" s="81">
        <f>L81*0.3*AL81/18</f>
        <v>27375.046875</v>
      </c>
      <c r="AN81" s="78">
        <v>5</v>
      </c>
      <c r="AO81" s="81">
        <f>L81*0.3*AN81/18</f>
        <v>9125.015625</v>
      </c>
      <c r="AP81" s="78"/>
      <c r="AQ81" s="81"/>
      <c r="AR81" s="81"/>
      <c r="AS81" s="81"/>
      <c r="AT81" s="81"/>
      <c r="AU81" s="81"/>
      <c r="AV81" s="81"/>
      <c r="AW81" s="81"/>
      <c r="AX81" s="81"/>
      <c r="AY81" s="81">
        <f t="shared" si="14"/>
        <v>17033.362500000003</v>
      </c>
      <c r="AZ81" s="81"/>
      <c r="BA81" s="71">
        <f t="array" ref="BA81">SUM(ROUND(AA81:AI81,0),ROUND(AK81:AK81,0),ROUND(AM81:AM81,0),ROUND(AO81:AO81,0),ROUND(AQ81:AZ81,0))</f>
        <v>256164</v>
      </c>
    </row>
    <row r="82" spans="1:53" s="20" customFormat="1" ht="12" thickBot="1" x14ac:dyDescent="0.25">
      <c r="A82" s="72">
        <v>42</v>
      </c>
      <c r="B82" s="73" t="s">
        <v>191</v>
      </c>
      <c r="C82" s="73" t="s">
        <v>192</v>
      </c>
      <c r="D82" s="74" t="s">
        <v>77</v>
      </c>
      <c r="E82" s="74" t="s">
        <v>83</v>
      </c>
      <c r="F82" s="73" t="s">
        <v>193</v>
      </c>
      <c r="G82" s="74" t="s">
        <v>84</v>
      </c>
      <c r="H82" s="75" t="s">
        <v>85</v>
      </c>
      <c r="I82" s="76">
        <v>5.41</v>
      </c>
      <c r="J82" s="77">
        <f t="shared" si="19"/>
        <v>95740.77</v>
      </c>
      <c r="K82" s="78">
        <v>1.25</v>
      </c>
      <c r="L82" s="77">
        <f t="shared" si="20"/>
        <v>119675.96250000001</v>
      </c>
      <c r="M82" s="79"/>
      <c r="N82" s="77">
        <v>17697</v>
      </c>
      <c r="O82" s="78">
        <v>9</v>
      </c>
      <c r="P82" s="78"/>
      <c r="Q82" s="78">
        <v>16</v>
      </c>
      <c r="R82" s="80">
        <f t="shared" si="11"/>
        <v>59837.981250000004</v>
      </c>
      <c r="S82" s="80" t="str">
        <f t="shared" si="12"/>
        <v/>
      </c>
      <c r="T82" s="80">
        <f t="shared" si="13"/>
        <v>106378.63333333335</v>
      </c>
      <c r="U82" s="78">
        <v>9</v>
      </c>
      <c r="V82" s="77">
        <f>N82*0.5/18*U82</f>
        <v>4424.25</v>
      </c>
      <c r="W82" s="78"/>
      <c r="X82" s="77"/>
      <c r="Y82" s="78">
        <v>15</v>
      </c>
      <c r="Z82" s="77">
        <f>N82*0.5/18*Y82</f>
        <v>7373.75</v>
      </c>
      <c r="AA82" s="80">
        <f t="shared" si="18"/>
        <v>178014.61458333334</v>
      </c>
      <c r="AB82" s="77"/>
      <c r="AC82" s="77"/>
      <c r="AD82" s="77"/>
      <c r="AE82" s="77"/>
      <c r="AF82" s="77"/>
      <c r="AG82" s="77"/>
      <c r="AH82" s="77"/>
      <c r="AI82" s="77">
        <f>N82*0.2*25/18</f>
        <v>4915.833333333333</v>
      </c>
      <c r="AJ82" s="78">
        <v>9</v>
      </c>
      <c r="AK82" s="81">
        <f>L82*0.3*AJ82/18</f>
        <v>17951.394375</v>
      </c>
      <c r="AL82" s="78"/>
      <c r="AM82" s="81"/>
      <c r="AN82" s="78">
        <v>16</v>
      </c>
      <c r="AO82" s="81">
        <f>L82*0.3*AN82/18</f>
        <v>31913.59</v>
      </c>
      <c r="AP82" s="78">
        <v>25</v>
      </c>
      <c r="AQ82" s="81"/>
      <c r="AR82" s="81">
        <f>L82*0.4*AP82/18</f>
        <v>66486.645833333343</v>
      </c>
      <c r="AS82" s="81"/>
      <c r="AT82" s="81"/>
      <c r="AU82" s="81"/>
      <c r="AV82" s="81"/>
      <c r="AW82" s="81"/>
      <c r="AX82" s="81"/>
      <c r="AY82" s="81">
        <f t="shared" si="14"/>
        <v>16621.661458333336</v>
      </c>
      <c r="AZ82" s="81"/>
      <c r="BA82" s="71">
        <f t="array" ref="BA82">SUM(ROUND(AA82:AI82,0),ROUND(AK82:AK82,0),ROUND(AM82:AM82,0),ROUND(AO82:AO82,0),ROUND(AQ82:AZ82,0))</f>
        <v>315905</v>
      </c>
    </row>
    <row r="83" spans="1:53" s="20" customFormat="1" ht="12" thickBot="1" x14ac:dyDescent="0.25">
      <c r="A83" s="72">
        <v>43</v>
      </c>
      <c r="B83" s="73" t="s">
        <v>194</v>
      </c>
      <c r="C83" s="73" t="s">
        <v>104</v>
      </c>
      <c r="D83" s="74" t="s">
        <v>77</v>
      </c>
      <c r="E83" s="74">
        <v>2</v>
      </c>
      <c r="F83" s="73" t="s">
        <v>195</v>
      </c>
      <c r="G83" s="74" t="s">
        <v>84</v>
      </c>
      <c r="H83" s="75" t="s">
        <v>81</v>
      </c>
      <c r="I83" s="76">
        <v>4.9000000000000004</v>
      </c>
      <c r="J83" s="77">
        <f t="shared" si="19"/>
        <v>86715.3</v>
      </c>
      <c r="K83" s="78">
        <v>1.25</v>
      </c>
      <c r="L83" s="77">
        <f t="shared" si="20"/>
        <v>108394.125</v>
      </c>
      <c r="M83" s="79"/>
      <c r="N83" s="77">
        <v>17697</v>
      </c>
      <c r="O83" s="78"/>
      <c r="P83" s="78">
        <v>26</v>
      </c>
      <c r="Q83" s="78"/>
      <c r="R83" s="80" t="str">
        <f t="shared" si="11"/>
        <v/>
      </c>
      <c r="S83" s="80">
        <f t="shared" si="12"/>
        <v>156569.29166666666</v>
      </c>
      <c r="T83" s="80" t="str">
        <f t="shared" si="13"/>
        <v/>
      </c>
      <c r="U83" s="78"/>
      <c r="V83" s="77"/>
      <c r="W83" s="78">
        <v>25</v>
      </c>
      <c r="X83" s="77">
        <f>N83*0.5/18*W83</f>
        <v>12289.583333333332</v>
      </c>
      <c r="Y83" s="78"/>
      <c r="Z83" s="77"/>
      <c r="AA83" s="80">
        <f t="shared" si="18"/>
        <v>168858.875</v>
      </c>
      <c r="AB83" s="77"/>
      <c r="AC83" s="77"/>
      <c r="AD83" s="77"/>
      <c r="AE83" s="77"/>
      <c r="AF83" s="77">
        <f>N83*0.6</f>
        <v>10618.199999999999</v>
      </c>
      <c r="AG83" s="77"/>
      <c r="AH83" s="77"/>
      <c r="AI83" s="77">
        <f>N83*0.2*26/18</f>
        <v>5112.4666666666672</v>
      </c>
      <c r="AJ83" s="78"/>
      <c r="AK83" s="81"/>
      <c r="AL83" s="78">
        <v>26</v>
      </c>
      <c r="AM83" s="81">
        <f>L83*0.3*AL83/18</f>
        <v>46970.787499999999</v>
      </c>
      <c r="AN83" s="78"/>
      <c r="AO83" s="81"/>
      <c r="AP83" s="78">
        <v>26</v>
      </c>
      <c r="AQ83" s="81"/>
      <c r="AR83" s="81"/>
      <c r="AS83" s="81"/>
      <c r="AT83" s="81">
        <f>L83*0.3*AP83/18</f>
        <v>46970.787499999999</v>
      </c>
      <c r="AU83" s="81"/>
      <c r="AV83" s="81"/>
      <c r="AW83" s="81"/>
      <c r="AX83" s="81"/>
      <c r="AY83" s="81">
        <f t="shared" si="14"/>
        <v>15656.929166666669</v>
      </c>
      <c r="AZ83" s="81"/>
      <c r="BA83" s="71">
        <f t="array" ref="BA83">SUM(ROUND(AA83:AI83,0),ROUND(AK83:AK83,0),ROUND(AM83:AM83,0),ROUND(AO83:AO83,0),ROUND(AQ83:AZ83,0))</f>
        <v>294188</v>
      </c>
    </row>
    <row r="84" spans="1:53" s="20" customFormat="1" ht="12" thickBot="1" x14ac:dyDescent="0.25">
      <c r="A84" s="72">
        <v>44</v>
      </c>
      <c r="B84" s="73" t="s">
        <v>196</v>
      </c>
      <c r="C84" s="73" t="s">
        <v>104</v>
      </c>
      <c r="D84" s="74" t="s">
        <v>77</v>
      </c>
      <c r="E84" s="74">
        <v>2</v>
      </c>
      <c r="F84" s="73" t="s">
        <v>197</v>
      </c>
      <c r="G84" s="74" t="s">
        <v>84</v>
      </c>
      <c r="H84" s="75" t="s">
        <v>81</v>
      </c>
      <c r="I84" s="76">
        <v>4.66</v>
      </c>
      <c r="J84" s="77">
        <f t="shared" si="19"/>
        <v>82468.02</v>
      </c>
      <c r="K84" s="78">
        <v>1.25</v>
      </c>
      <c r="L84" s="77">
        <f t="shared" si="20"/>
        <v>103085.02500000001</v>
      </c>
      <c r="M84" s="79"/>
      <c r="N84" s="77">
        <v>17697</v>
      </c>
      <c r="O84" s="78">
        <v>15</v>
      </c>
      <c r="P84" s="78">
        <v>10</v>
      </c>
      <c r="Q84" s="78"/>
      <c r="R84" s="80">
        <f t="shared" si="11"/>
        <v>85904.187500000015</v>
      </c>
      <c r="S84" s="80">
        <f t="shared" si="12"/>
        <v>57269.458333333343</v>
      </c>
      <c r="T84" s="80" t="str">
        <f t="shared" si="13"/>
        <v/>
      </c>
      <c r="U84" s="78">
        <v>15</v>
      </c>
      <c r="V84" s="77">
        <f>N84*0.5/18*U84</f>
        <v>7373.75</v>
      </c>
      <c r="W84" s="78">
        <v>10</v>
      </c>
      <c r="X84" s="77">
        <f>N84*0.5/18*W84</f>
        <v>4915.833333333333</v>
      </c>
      <c r="Y84" s="78"/>
      <c r="Z84" s="77"/>
      <c r="AA84" s="80">
        <f t="shared" si="18"/>
        <v>155463.22916666672</v>
      </c>
      <c r="AB84" s="77"/>
      <c r="AC84" s="77"/>
      <c r="AD84" s="77"/>
      <c r="AE84" s="77"/>
      <c r="AF84" s="77"/>
      <c r="AG84" s="77"/>
      <c r="AH84" s="77"/>
      <c r="AI84" s="77">
        <f>N84*0.2*19/18</f>
        <v>3736.0333333333338</v>
      </c>
      <c r="AJ84" s="78">
        <v>15</v>
      </c>
      <c r="AK84" s="81">
        <f>L84*0.3*AJ84/18</f>
        <v>25771.256249999999</v>
      </c>
      <c r="AL84" s="78">
        <v>10</v>
      </c>
      <c r="AM84" s="81">
        <f>L84*0.3*AL84/18</f>
        <v>17180.837500000001</v>
      </c>
      <c r="AN84" s="78"/>
      <c r="AO84" s="81"/>
      <c r="AP84" s="78">
        <v>25</v>
      </c>
      <c r="AQ84" s="81"/>
      <c r="AR84" s="81"/>
      <c r="AS84" s="81"/>
      <c r="AT84" s="81">
        <f>L84*0.3*AP84/18</f>
        <v>42952.09375</v>
      </c>
      <c r="AU84" s="81"/>
      <c r="AV84" s="81"/>
      <c r="AW84" s="81">
        <f>27780*1</f>
        <v>27780</v>
      </c>
      <c r="AX84" s="81"/>
      <c r="AY84" s="81">
        <f t="shared" si="14"/>
        <v>14317.364583333336</v>
      </c>
      <c r="AZ84" s="81"/>
      <c r="BA84" s="71">
        <f t="array" ref="BA84">SUM(ROUND(AA84:AI84,0),ROUND(AK84:AK84,0),ROUND(AM84:AM84,0),ROUND(AO84:AO84,0),ROUND(AQ84:AZ84,0))</f>
        <v>287200</v>
      </c>
    </row>
    <row r="85" spans="1:53" s="20" customFormat="1" ht="12" thickBot="1" x14ac:dyDescent="0.25">
      <c r="A85" s="72">
        <v>45</v>
      </c>
      <c r="B85" s="73" t="s">
        <v>198</v>
      </c>
      <c r="C85" s="73" t="s">
        <v>104</v>
      </c>
      <c r="D85" s="74" t="s">
        <v>77</v>
      </c>
      <c r="E85" s="74" t="s">
        <v>83</v>
      </c>
      <c r="F85" s="73" t="s">
        <v>199</v>
      </c>
      <c r="G85" s="74" t="s">
        <v>84</v>
      </c>
      <c r="H85" s="75" t="s">
        <v>85</v>
      </c>
      <c r="I85" s="76">
        <v>5.32</v>
      </c>
      <c r="J85" s="77">
        <f t="shared" si="19"/>
        <v>94148.040000000008</v>
      </c>
      <c r="K85" s="78">
        <v>1.25</v>
      </c>
      <c r="L85" s="77">
        <f t="shared" si="20"/>
        <v>117685.05000000002</v>
      </c>
      <c r="M85" s="79"/>
      <c r="N85" s="77">
        <v>17697</v>
      </c>
      <c r="O85" s="78"/>
      <c r="P85" s="78">
        <v>26</v>
      </c>
      <c r="Q85" s="78"/>
      <c r="R85" s="80" t="str">
        <f t="shared" si="11"/>
        <v/>
      </c>
      <c r="S85" s="80">
        <f t="shared" si="12"/>
        <v>169989.51666666669</v>
      </c>
      <c r="T85" s="80" t="str">
        <f t="shared" si="13"/>
        <v/>
      </c>
      <c r="U85" s="78"/>
      <c r="V85" s="77"/>
      <c r="W85" s="78">
        <v>25</v>
      </c>
      <c r="X85" s="77">
        <f>N85*0.5/18*W85</f>
        <v>12289.583333333332</v>
      </c>
      <c r="Y85" s="78"/>
      <c r="Z85" s="77"/>
      <c r="AA85" s="80">
        <f t="shared" si="18"/>
        <v>182279.10000000003</v>
      </c>
      <c r="AB85" s="77"/>
      <c r="AC85" s="77"/>
      <c r="AD85" s="77"/>
      <c r="AE85" s="77"/>
      <c r="AF85" s="77"/>
      <c r="AG85" s="77"/>
      <c r="AH85" s="77"/>
      <c r="AI85" s="77">
        <f>N85*0.2*26/18</f>
        <v>5112.4666666666672</v>
      </c>
      <c r="AJ85" s="78"/>
      <c r="AK85" s="81"/>
      <c r="AL85" s="78">
        <v>26</v>
      </c>
      <c r="AM85" s="81">
        <f>L85*0.3*AL85/18</f>
        <v>50996.85500000001</v>
      </c>
      <c r="AN85" s="78"/>
      <c r="AO85" s="81"/>
      <c r="AP85" s="78">
        <v>26</v>
      </c>
      <c r="AQ85" s="81"/>
      <c r="AR85" s="81">
        <f>L85*0.4*AP85/18</f>
        <v>67995.806666666685</v>
      </c>
      <c r="AS85" s="81"/>
      <c r="AT85" s="81"/>
      <c r="AU85" s="81"/>
      <c r="AV85" s="81"/>
      <c r="AW85" s="81"/>
      <c r="AX85" s="81"/>
      <c r="AY85" s="81">
        <f t="shared" si="14"/>
        <v>16998.951666666671</v>
      </c>
      <c r="AZ85" s="81"/>
      <c r="BA85" s="71">
        <f t="array" ref="BA85">SUM(ROUND(AA85:AI85,0),ROUND(AK85:AK85,0),ROUND(AM85:AM85,0),ROUND(AO85:AO85,0),ROUND(AQ85:AZ85,0))</f>
        <v>323383</v>
      </c>
    </row>
    <row r="86" spans="1:53" s="20" customFormat="1" ht="12" thickBot="1" x14ac:dyDescent="0.25">
      <c r="A86" s="72">
        <v>46</v>
      </c>
      <c r="B86" s="73" t="s">
        <v>200</v>
      </c>
      <c r="C86" s="73" t="s">
        <v>104</v>
      </c>
      <c r="D86" s="74" t="s">
        <v>77</v>
      </c>
      <c r="E86" s="74">
        <v>2</v>
      </c>
      <c r="F86" s="73" t="s">
        <v>201</v>
      </c>
      <c r="G86" s="74" t="s">
        <v>84</v>
      </c>
      <c r="H86" s="75" t="s">
        <v>81</v>
      </c>
      <c r="I86" s="76">
        <v>4.99</v>
      </c>
      <c r="J86" s="77">
        <f t="shared" si="19"/>
        <v>88308.03</v>
      </c>
      <c r="K86" s="78">
        <v>1.25</v>
      </c>
      <c r="L86" s="77">
        <f t="shared" si="20"/>
        <v>110385.03750000001</v>
      </c>
      <c r="M86" s="79"/>
      <c r="N86" s="77">
        <v>17697</v>
      </c>
      <c r="O86" s="78">
        <v>13</v>
      </c>
      <c r="P86" s="78">
        <v>11</v>
      </c>
      <c r="Q86" s="78"/>
      <c r="R86" s="80">
        <f t="shared" si="11"/>
        <v>79722.527083333334</v>
      </c>
      <c r="S86" s="80">
        <f t="shared" si="12"/>
        <v>67457.522916666669</v>
      </c>
      <c r="T86" s="80" t="str">
        <f t="shared" si="13"/>
        <v/>
      </c>
      <c r="U86" s="78">
        <v>12</v>
      </c>
      <c r="V86" s="77">
        <f>N86*0.5/18*U86</f>
        <v>5899</v>
      </c>
      <c r="W86" s="78">
        <v>10</v>
      </c>
      <c r="X86" s="77">
        <f>N86*0.5/18*W86</f>
        <v>4915.833333333333</v>
      </c>
      <c r="Y86" s="78"/>
      <c r="Z86" s="77"/>
      <c r="AA86" s="80">
        <f t="shared" si="18"/>
        <v>157994.88333333333</v>
      </c>
      <c r="AB86" s="77"/>
      <c r="AC86" s="77"/>
      <c r="AD86" s="77"/>
      <c r="AE86" s="77"/>
      <c r="AF86" s="77"/>
      <c r="AG86" s="77"/>
      <c r="AH86" s="77"/>
      <c r="AI86" s="77">
        <f>N86*0.2*24/18</f>
        <v>4719.2000000000007</v>
      </c>
      <c r="AJ86" s="78">
        <v>13</v>
      </c>
      <c r="AK86" s="81">
        <f>L86*0.3*AJ86/18</f>
        <v>23916.758125000004</v>
      </c>
      <c r="AL86" s="78">
        <v>11</v>
      </c>
      <c r="AM86" s="81">
        <f>L86*0.3*AL86/18</f>
        <v>20237.256875000003</v>
      </c>
      <c r="AN86" s="78"/>
      <c r="AO86" s="81"/>
      <c r="AP86" s="78"/>
      <c r="AQ86" s="81"/>
      <c r="AR86" s="81"/>
      <c r="AS86" s="81"/>
      <c r="AT86" s="81"/>
      <c r="AU86" s="81"/>
      <c r="AV86" s="81"/>
      <c r="AW86" s="81"/>
      <c r="AX86" s="81"/>
      <c r="AY86" s="81">
        <f t="shared" si="14"/>
        <v>14718.005000000001</v>
      </c>
      <c r="AZ86" s="81"/>
      <c r="BA86" s="71">
        <f t="array" ref="BA86">SUM(ROUND(AA86:AI86,0),ROUND(AK86:AK86,0),ROUND(AM86:AM86,0),ROUND(AO86:AO86,0),ROUND(AQ86:AZ86,0))</f>
        <v>221586</v>
      </c>
    </row>
    <row r="87" spans="1:53" s="20" customFormat="1" ht="12" thickBot="1" x14ac:dyDescent="0.25">
      <c r="A87" s="72">
        <v>47</v>
      </c>
      <c r="B87" s="73" t="s">
        <v>202</v>
      </c>
      <c r="C87" s="73" t="s">
        <v>104</v>
      </c>
      <c r="D87" s="74" t="s">
        <v>77</v>
      </c>
      <c r="E87" s="74" t="s">
        <v>83</v>
      </c>
      <c r="F87" s="73" t="s">
        <v>203</v>
      </c>
      <c r="G87" s="74" t="s">
        <v>84</v>
      </c>
      <c r="H87" s="75" t="s">
        <v>85</v>
      </c>
      <c r="I87" s="76">
        <v>5.32</v>
      </c>
      <c r="J87" s="77">
        <f t="shared" si="19"/>
        <v>94148.040000000008</v>
      </c>
      <c r="K87" s="78">
        <v>1.25</v>
      </c>
      <c r="L87" s="77">
        <f t="shared" si="20"/>
        <v>117685.05000000002</v>
      </c>
      <c r="M87" s="79"/>
      <c r="N87" s="77">
        <v>17697</v>
      </c>
      <c r="O87" s="78">
        <v>9</v>
      </c>
      <c r="P87" s="78">
        <v>15</v>
      </c>
      <c r="Q87" s="78"/>
      <c r="R87" s="80">
        <f t="shared" si="11"/>
        <v>58842.525000000009</v>
      </c>
      <c r="S87" s="80">
        <f t="shared" si="12"/>
        <v>98070.875000000015</v>
      </c>
      <c r="T87" s="80" t="str">
        <f t="shared" si="13"/>
        <v/>
      </c>
      <c r="U87" s="78">
        <v>9</v>
      </c>
      <c r="V87" s="77">
        <f>N87*0.5/18*U87</f>
        <v>4424.25</v>
      </c>
      <c r="W87" s="78">
        <v>15</v>
      </c>
      <c r="X87" s="77">
        <f>N87*0.5/18*W87</f>
        <v>7373.75</v>
      </c>
      <c r="Y87" s="78"/>
      <c r="Z87" s="77"/>
      <c r="AA87" s="80">
        <f t="shared" si="18"/>
        <v>168711.40000000002</v>
      </c>
      <c r="AB87" s="77"/>
      <c r="AC87" s="77"/>
      <c r="AD87" s="77"/>
      <c r="AE87" s="77"/>
      <c r="AF87" s="77"/>
      <c r="AG87" s="77"/>
      <c r="AH87" s="77"/>
      <c r="AI87" s="77">
        <f>N87*0.2*24/18</f>
        <v>4719.2000000000007</v>
      </c>
      <c r="AJ87" s="78">
        <v>9</v>
      </c>
      <c r="AK87" s="81">
        <f>L87*0.3*AJ87/18</f>
        <v>17652.757500000003</v>
      </c>
      <c r="AL87" s="78">
        <v>15</v>
      </c>
      <c r="AM87" s="81">
        <f>L87*0.3*AL87/18</f>
        <v>29421.262500000004</v>
      </c>
      <c r="AN87" s="78"/>
      <c r="AO87" s="81"/>
      <c r="AP87" s="78"/>
      <c r="AQ87" s="81"/>
      <c r="AR87" s="81"/>
      <c r="AS87" s="81"/>
      <c r="AT87" s="81"/>
      <c r="AU87" s="81"/>
      <c r="AV87" s="81"/>
      <c r="AW87" s="81"/>
      <c r="AX87" s="81"/>
      <c r="AY87" s="81">
        <f t="shared" si="14"/>
        <v>15691.340000000004</v>
      </c>
      <c r="AZ87" s="81"/>
      <c r="BA87" s="71">
        <f t="array" ref="BA87">SUM(ROUND(AA87:AI87,0),ROUND(AK87:AK87,0),ROUND(AM87:AM87,0),ROUND(AO87:AO87,0),ROUND(AQ87:AZ87,0))</f>
        <v>236195</v>
      </c>
    </row>
    <row r="88" spans="1:53" s="20" customFormat="1" ht="12" thickBot="1" x14ac:dyDescent="0.25">
      <c r="A88" s="72">
        <v>48</v>
      </c>
      <c r="B88" s="73" t="s">
        <v>204</v>
      </c>
      <c r="C88" s="73" t="s">
        <v>104</v>
      </c>
      <c r="D88" s="74" t="s">
        <v>77</v>
      </c>
      <c r="E88" s="74">
        <v>2</v>
      </c>
      <c r="F88" s="73" t="s">
        <v>205</v>
      </c>
      <c r="G88" s="74" t="s">
        <v>84</v>
      </c>
      <c r="H88" s="75" t="s">
        <v>81</v>
      </c>
      <c r="I88" s="76">
        <v>4.74</v>
      </c>
      <c r="J88" s="77">
        <f t="shared" si="19"/>
        <v>83883.78</v>
      </c>
      <c r="K88" s="78">
        <v>1.25</v>
      </c>
      <c r="L88" s="77">
        <f t="shared" si="20"/>
        <v>104854.72500000001</v>
      </c>
      <c r="M88" s="79"/>
      <c r="N88" s="77">
        <v>17697</v>
      </c>
      <c r="O88" s="78">
        <v>24</v>
      </c>
      <c r="P88" s="78"/>
      <c r="Q88" s="78"/>
      <c r="R88" s="80">
        <f t="shared" si="11"/>
        <v>139806.30000000002</v>
      </c>
      <c r="S88" s="80" t="str">
        <f t="shared" si="12"/>
        <v/>
      </c>
      <c r="T88" s="80" t="str">
        <f t="shared" si="13"/>
        <v/>
      </c>
      <c r="U88" s="78">
        <v>23</v>
      </c>
      <c r="V88" s="77">
        <f>N88*0.5/18*U88</f>
        <v>11306.416666666666</v>
      </c>
      <c r="W88" s="78"/>
      <c r="X88" s="77"/>
      <c r="Y88" s="78"/>
      <c r="Z88" s="77"/>
      <c r="AA88" s="80">
        <f t="shared" si="18"/>
        <v>151112.71666666667</v>
      </c>
      <c r="AB88" s="77"/>
      <c r="AC88" s="77"/>
      <c r="AD88" s="77"/>
      <c r="AE88" s="77"/>
      <c r="AF88" s="77"/>
      <c r="AG88" s="77"/>
      <c r="AH88" s="77"/>
      <c r="AI88" s="77">
        <f>N88*0.2*16/18</f>
        <v>3146.1333333333332</v>
      </c>
      <c r="AJ88" s="78">
        <v>24</v>
      </c>
      <c r="AK88" s="81">
        <f>L88*0.3*AJ88/18</f>
        <v>41941.89</v>
      </c>
      <c r="AL88" s="78"/>
      <c r="AM88" s="81"/>
      <c r="AN88" s="78"/>
      <c r="AO88" s="81"/>
      <c r="AP88" s="78"/>
      <c r="AQ88" s="81"/>
      <c r="AR88" s="81"/>
      <c r="AS88" s="81"/>
      <c r="AT88" s="81"/>
      <c r="AU88" s="81"/>
      <c r="AV88" s="81"/>
      <c r="AW88" s="81"/>
      <c r="AX88" s="81"/>
      <c r="AY88" s="81">
        <f t="shared" si="14"/>
        <v>13980.630000000001</v>
      </c>
      <c r="AZ88" s="81"/>
      <c r="BA88" s="71">
        <f t="array" ref="BA88">SUM(ROUND(AA88:AI88,0),ROUND(AK88:AK88,0),ROUND(AM88:AM88,0),ROUND(AO88:AO88,0),ROUND(AQ88:AZ88,0))</f>
        <v>210182</v>
      </c>
    </row>
    <row r="89" spans="1:53" s="20" customFormat="1" ht="12" thickBot="1" x14ac:dyDescent="0.25">
      <c r="A89" s="72">
        <v>49</v>
      </c>
      <c r="B89" s="73" t="s">
        <v>206</v>
      </c>
      <c r="C89" s="73" t="s">
        <v>104</v>
      </c>
      <c r="D89" s="74" t="s">
        <v>137</v>
      </c>
      <c r="E89" s="74" t="s">
        <v>78</v>
      </c>
      <c r="F89" s="73" t="s">
        <v>207</v>
      </c>
      <c r="G89" s="74" t="s">
        <v>139</v>
      </c>
      <c r="H89" s="75" t="s">
        <v>96</v>
      </c>
      <c r="I89" s="76">
        <v>3.41</v>
      </c>
      <c r="J89" s="77">
        <f t="shared" si="19"/>
        <v>60346.770000000004</v>
      </c>
      <c r="K89" s="78">
        <v>1.25</v>
      </c>
      <c r="L89" s="77">
        <f t="shared" si="20"/>
        <v>75433.462500000009</v>
      </c>
      <c r="M89" s="79"/>
      <c r="N89" s="77">
        <v>17697</v>
      </c>
      <c r="O89" s="78">
        <v>24</v>
      </c>
      <c r="P89" s="78"/>
      <c r="Q89" s="78"/>
      <c r="R89" s="80">
        <f t="shared" si="11"/>
        <v>100577.95000000001</v>
      </c>
      <c r="S89" s="80" t="str">
        <f t="shared" si="12"/>
        <v/>
      </c>
      <c r="T89" s="80" t="str">
        <f t="shared" si="13"/>
        <v/>
      </c>
      <c r="U89" s="78">
        <v>24</v>
      </c>
      <c r="V89" s="77">
        <f>N89*0.5/18*U89</f>
        <v>11798</v>
      </c>
      <c r="W89" s="78"/>
      <c r="X89" s="77"/>
      <c r="Y89" s="78"/>
      <c r="Z89" s="77"/>
      <c r="AA89" s="80">
        <f t="shared" si="18"/>
        <v>112375.95000000001</v>
      </c>
      <c r="AB89" s="77"/>
      <c r="AC89" s="77"/>
      <c r="AD89" s="77"/>
      <c r="AE89" s="77"/>
      <c r="AF89" s="77">
        <f>N89*0.6</f>
        <v>10618.199999999999</v>
      </c>
      <c r="AG89" s="77"/>
      <c r="AH89" s="77"/>
      <c r="AI89" s="77">
        <f>N89*0.2*18/18</f>
        <v>3539.4</v>
      </c>
      <c r="AJ89" s="78">
        <v>24</v>
      </c>
      <c r="AK89" s="81">
        <f>L89*0.3*AJ89/18</f>
        <v>30173.385000000002</v>
      </c>
      <c r="AL89" s="78"/>
      <c r="AM89" s="81"/>
      <c r="AN89" s="78"/>
      <c r="AO89" s="81"/>
      <c r="AP89" s="78"/>
      <c r="AQ89" s="81"/>
      <c r="AR89" s="81"/>
      <c r="AS89" s="81"/>
      <c r="AT89" s="81"/>
      <c r="AU89" s="81"/>
      <c r="AV89" s="81"/>
      <c r="AW89" s="81"/>
      <c r="AX89" s="81"/>
      <c r="AY89" s="81">
        <f t="shared" si="14"/>
        <v>10057.795000000002</v>
      </c>
      <c r="AZ89" s="81"/>
      <c r="BA89" s="71">
        <f t="array" ref="BA89">SUM(ROUND(AA89:AI89,0),ROUND(AK89:AK89,0),ROUND(AM89:AM89,0),ROUND(AO89:AO89,0),ROUND(AQ89:AZ89,0))</f>
        <v>166764</v>
      </c>
    </row>
    <row r="90" spans="1:53" s="20" customFormat="1" ht="12" thickBot="1" x14ac:dyDescent="0.25">
      <c r="A90" s="72">
        <v>50</v>
      </c>
      <c r="B90" s="73" t="s">
        <v>208</v>
      </c>
      <c r="C90" s="73" t="s">
        <v>209</v>
      </c>
      <c r="D90" s="74" t="s">
        <v>77</v>
      </c>
      <c r="E90" s="74" t="s">
        <v>83</v>
      </c>
      <c r="F90" s="73" t="s">
        <v>210</v>
      </c>
      <c r="G90" s="74" t="s">
        <v>84</v>
      </c>
      <c r="H90" s="75" t="s">
        <v>85</v>
      </c>
      <c r="I90" s="76">
        <v>5.41</v>
      </c>
      <c r="J90" s="77">
        <f t="shared" si="19"/>
        <v>95740.77</v>
      </c>
      <c r="K90" s="78">
        <v>1.25</v>
      </c>
      <c r="L90" s="77">
        <f t="shared" si="20"/>
        <v>119675.96250000001</v>
      </c>
      <c r="M90" s="79"/>
      <c r="N90" s="77">
        <v>17697</v>
      </c>
      <c r="O90" s="78"/>
      <c r="P90" s="78">
        <v>26</v>
      </c>
      <c r="Q90" s="78">
        <v>10</v>
      </c>
      <c r="R90" s="80" t="str">
        <f t="shared" ref="R90:R104" si="21">IF(O90&gt;0,$L90/18*O90,"")</f>
        <v/>
      </c>
      <c r="S90" s="80">
        <f t="shared" ref="S90:S104" si="22">IF(P90&gt;0,$L90/18*P90,"")</f>
        <v>172865.27916666667</v>
      </c>
      <c r="T90" s="80">
        <f t="shared" ref="T90:T104" si="23">IF(Q90&gt;0,$L90/18*Q90,"")</f>
        <v>66486.645833333343</v>
      </c>
      <c r="U90" s="78"/>
      <c r="V90" s="77"/>
      <c r="W90" s="78">
        <v>24</v>
      </c>
      <c r="X90" s="77">
        <f>N90*0.4/18*W90</f>
        <v>9438.4</v>
      </c>
      <c r="Y90" s="78">
        <v>9</v>
      </c>
      <c r="Z90" s="77">
        <f>N90*0.4/18*Y90</f>
        <v>3539.3999999999996</v>
      </c>
      <c r="AA90" s="80">
        <f t="shared" si="18"/>
        <v>252329.72500000001</v>
      </c>
      <c r="AB90" s="77"/>
      <c r="AC90" s="77"/>
      <c r="AD90" s="77"/>
      <c r="AE90" s="77"/>
      <c r="AF90" s="77"/>
      <c r="AG90" s="77">
        <f>N90*0.2</f>
        <v>3539.4</v>
      </c>
      <c r="AH90" s="77"/>
      <c r="AI90" s="77">
        <f>N90*0.2*36/18</f>
        <v>7078.8</v>
      </c>
      <c r="AJ90" s="78"/>
      <c r="AK90" s="81"/>
      <c r="AL90" s="78">
        <v>26</v>
      </c>
      <c r="AM90" s="81">
        <f>L90*0.3*AL90/18</f>
        <v>51859.583749999998</v>
      </c>
      <c r="AN90" s="78">
        <v>10</v>
      </c>
      <c r="AO90" s="81">
        <f>L90*0.3*AN90/18</f>
        <v>19945.993750000001</v>
      </c>
      <c r="AP90" s="78">
        <v>36</v>
      </c>
      <c r="AQ90" s="81"/>
      <c r="AR90" s="81">
        <f>L90*0.4*AP90/18</f>
        <v>95740.770000000019</v>
      </c>
      <c r="AS90" s="81"/>
      <c r="AT90" s="81"/>
      <c r="AU90" s="81"/>
      <c r="AV90" s="81"/>
      <c r="AW90" s="81"/>
      <c r="AX90" s="81"/>
      <c r="AY90" s="81">
        <f t="shared" ref="AY90:AY104" si="24">L90*0.1*SUM(O90:Q90)/18</f>
        <v>23935.192500000005</v>
      </c>
      <c r="AZ90" s="81"/>
      <c r="BA90" s="71">
        <f t="array" ref="BA90">SUM(ROUND(AA90:AI90,0),ROUND(AK90:AK90,0),ROUND(AM90:AM90,0),ROUND(AO90:AO90,0),ROUND(AQ90:AZ90,0))</f>
        <v>454430</v>
      </c>
    </row>
    <row r="91" spans="1:53" s="20" customFormat="1" ht="12" thickBot="1" x14ac:dyDescent="0.25">
      <c r="A91" s="72">
        <v>51</v>
      </c>
      <c r="B91" s="73" t="s">
        <v>211</v>
      </c>
      <c r="C91" s="73" t="s">
        <v>209</v>
      </c>
      <c r="D91" s="74" t="s">
        <v>77</v>
      </c>
      <c r="E91" s="74" t="s">
        <v>83</v>
      </c>
      <c r="F91" s="73" t="s">
        <v>182</v>
      </c>
      <c r="G91" s="74" t="s">
        <v>84</v>
      </c>
      <c r="H91" s="75" t="s">
        <v>85</v>
      </c>
      <c r="I91" s="76">
        <v>5.32</v>
      </c>
      <c r="J91" s="77">
        <f t="shared" si="19"/>
        <v>94148.040000000008</v>
      </c>
      <c r="K91" s="78">
        <v>1.25</v>
      </c>
      <c r="L91" s="77">
        <f t="shared" si="20"/>
        <v>117685.05000000002</v>
      </c>
      <c r="M91" s="79"/>
      <c r="N91" s="77">
        <v>17697</v>
      </c>
      <c r="O91" s="78"/>
      <c r="P91" s="78">
        <v>28</v>
      </c>
      <c r="Q91" s="78">
        <v>4</v>
      </c>
      <c r="R91" s="80" t="str">
        <f t="shared" si="21"/>
        <v/>
      </c>
      <c r="S91" s="80">
        <f t="shared" si="22"/>
        <v>183065.63333333336</v>
      </c>
      <c r="T91" s="80">
        <f t="shared" si="23"/>
        <v>26152.233333333337</v>
      </c>
      <c r="U91" s="78"/>
      <c r="V91" s="77"/>
      <c r="W91" s="78">
        <v>27</v>
      </c>
      <c r="X91" s="77">
        <f>N91*0.4/18*W91</f>
        <v>10618.199999999999</v>
      </c>
      <c r="Y91" s="78">
        <v>3</v>
      </c>
      <c r="Z91" s="77">
        <f>N91*0.4/18*Y91</f>
        <v>1179.8</v>
      </c>
      <c r="AA91" s="80">
        <f t="shared" si="18"/>
        <v>221015.8666666667</v>
      </c>
      <c r="AB91" s="77"/>
      <c r="AC91" s="77"/>
      <c r="AD91" s="77"/>
      <c r="AE91" s="77"/>
      <c r="AF91" s="77"/>
      <c r="AG91" s="77"/>
      <c r="AH91" s="77"/>
      <c r="AI91" s="77">
        <f>N91*0.2*32/18</f>
        <v>6292.2666666666664</v>
      </c>
      <c r="AJ91" s="78"/>
      <c r="AK91" s="81"/>
      <c r="AL91" s="78">
        <v>28</v>
      </c>
      <c r="AM91" s="81">
        <f>L91*0.3*AL91/18</f>
        <v>54919.69000000001</v>
      </c>
      <c r="AN91" s="78">
        <v>4</v>
      </c>
      <c r="AO91" s="81">
        <f>L91*0.3*AN91/18</f>
        <v>7845.6700000000019</v>
      </c>
      <c r="AP91" s="78">
        <v>32</v>
      </c>
      <c r="AQ91" s="81"/>
      <c r="AR91" s="81">
        <f>L91*0.4*AP91/18</f>
        <v>83687.146666666682</v>
      </c>
      <c r="AS91" s="81"/>
      <c r="AT91" s="81"/>
      <c r="AU91" s="81"/>
      <c r="AV91" s="81"/>
      <c r="AW91" s="81"/>
      <c r="AX91" s="81"/>
      <c r="AY91" s="81">
        <f t="shared" si="24"/>
        <v>20921.78666666667</v>
      </c>
      <c r="AZ91" s="81"/>
      <c r="BA91" s="71">
        <f t="array" ref="BA91">SUM(ROUND(AA91:AI91,0),ROUND(AK91:AK91,0),ROUND(AM91:AM91,0),ROUND(AO91:AO91,0),ROUND(AQ91:AZ91,0))</f>
        <v>394683</v>
      </c>
    </row>
    <row r="92" spans="1:53" s="20" customFormat="1" ht="12" thickBot="1" x14ac:dyDescent="0.25">
      <c r="A92" s="72">
        <v>52</v>
      </c>
      <c r="B92" s="73" t="s">
        <v>212</v>
      </c>
      <c r="C92" s="73" t="s">
        <v>209</v>
      </c>
      <c r="D92" s="74" t="s">
        <v>77</v>
      </c>
      <c r="E92" s="74">
        <v>1</v>
      </c>
      <c r="F92" s="73" t="s">
        <v>213</v>
      </c>
      <c r="G92" s="74" t="s">
        <v>84</v>
      </c>
      <c r="H92" s="75" t="s">
        <v>91</v>
      </c>
      <c r="I92" s="76">
        <v>4.8600000000000003</v>
      </c>
      <c r="J92" s="77">
        <f t="shared" si="19"/>
        <v>86007.420000000013</v>
      </c>
      <c r="K92" s="78">
        <v>1.25</v>
      </c>
      <c r="L92" s="77">
        <f t="shared" si="20"/>
        <v>107509.27500000002</v>
      </c>
      <c r="M92" s="79"/>
      <c r="N92" s="77">
        <v>17697</v>
      </c>
      <c r="O92" s="78">
        <v>12</v>
      </c>
      <c r="P92" s="78">
        <v>16</v>
      </c>
      <c r="Q92" s="78"/>
      <c r="R92" s="80">
        <f t="shared" si="21"/>
        <v>71672.850000000006</v>
      </c>
      <c r="S92" s="80">
        <f t="shared" si="22"/>
        <v>95563.800000000017</v>
      </c>
      <c r="T92" s="80" t="str">
        <f t="shared" si="23"/>
        <v/>
      </c>
      <c r="U92" s="78">
        <v>12</v>
      </c>
      <c r="V92" s="77">
        <f>N92*0.4/18*U92</f>
        <v>4719.2</v>
      </c>
      <c r="W92" s="78">
        <v>15</v>
      </c>
      <c r="X92" s="77">
        <f>N92*0.4/18*W92</f>
        <v>5899</v>
      </c>
      <c r="Y92" s="78"/>
      <c r="Z92" s="77"/>
      <c r="AA92" s="80">
        <f t="shared" si="18"/>
        <v>177854.85000000003</v>
      </c>
      <c r="AB92" s="77"/>
      <c r="AC92" s="77"/>
      <c r="AD92" s="77"/>
      <c r="AE92" s="77"/>
      <c r="AF92" s="77">
        <f>N92*0.6</f>
        <v>10618.199999999999</v>
      </c>
      <c r="AG92" s="77"/>
      <c r="AH92" s="77"/>
      <c r="AI92" s="77">
        <f>N92*0.2*28/18</f>
        <v>5505.7333333333336</v>
      </c>
      <c r="AJ92" s="78">
        <v>12</v>
      </c>
      <c r="AK92" s="81">
        <f>L92*0.3*AJ92/18</f>
        <v>21501.855000000003</v>
      </c>
      <c r="AL92" s="78">
        <v>16</v>
      </c>
      <c r="AM92" s="81">
        <f>L92*0.3*AL92/18</f>
        <v>28669.140000000003</v>
      </c>
      <c r="AN92" s="78"/>
      <c r="AO92" s="81"/>
      <c r="AP92" s="78">
        <v>28</v>
      </c>
      <c r="AQ92" s="81"/>
      <c r="AR92" s="81"/>
      <c r="AS92" s="81">
        <f>L92*0.35*AP92/18</f>
        <v>58532.827499999999</v>
      </c>
      <c r="AT92" s="81"/>
      <c r="AU92" s="81"/>
      <c r="AV92" s="81"/>
      <c r="AW92" s="81"/>
      <c r="AX92" s="81"/>
      <c r="AY92" s="81">
        <f t="shared" si="24"/>
        <v>16723.665000000005</v>
      </c>
      <c r="AZ92" s="81"/>
      <c r="BA92" s="71">
        <f t="array" ref="BA92">SUM(ROUND(AA92:AI92,0),ROUND(AK92:AK92,0),ROUND(AM92:AM92,0),ROUND(AO92:AO92,0),ROUND(AQ92:AZ92,0))</f>
        <v>319407</v>
      </c>
    </row>
    <row r="93" spans="1:53" s="20" customFormat="1" ht="12" thickBot="1" x14ac:dyDescent="0.25">
      <c r="A93" s="72">
        <v>53</v>
      </c>
      <c r="B93" s="73" t="s">
        <v>214</v>
      </c>
      <c r="C93" s="73" t="s">
        <v>209</v>
      </c>
      <c r="D93" s="74" t="s">
        <v>77</v>
      </c>
      <c r="E93" s="74" t="s">
        <v>78</v>
      </c>
      <c r="F93" s="73" t="s">
        <v>215</v>
      </c>
      <c r="G93" s="74" t="s">
        <v>84</v>
      </c>
      <c r="H93" s="75" t="s">
        <v>96</v>
      </c>
      <c r="I93" s="76">
        <v>4.1399999999999997</v>
      </c>
      <c r="J93" s="77">
        <f t="shared" si="19"/>
        <v>73265.579999999987</v>
      </c>
      <c r="K93" s="78">
        <v>1.25</v>
      </c>
      <c r="L93" s="77">
        <f t="shared" si="20"/>
        <v>91581.974999999977</v>
      </c>
      <c r="M93" s="79"/>
      <c r="N93" s="77">
        <v>17697</v>
      </c>
      <c r="O93" s="78">
        <v>10</v>
      </c>
      <c r="P93" s="78">
        <v>9</v>
      </c>
      <c r="Q93" s="78"/>
      <c r="R93" s="80">
        <f t="shared" si="21"/>
        <v>50878.874999999985</v>
      </c>
      <c r="S93" s="80">
        <f t="shared" si="22"/>
        <v>45790.987499999988</v>
      </c>
      <c r="T93" s="80" t="str">
        <f t="shared" si="23"/>
        <v/>
      </c>
      <c r="U93" s="78">
        <v>10</v>
      </c>
      <c r="V93" s="77">
        <f>N93*0.4/18*U93</f>
        <v>3932.6666666666665</v>
      </c>
      <c r="W93" s="78">
        <v>9</v>
      </c>
      <c r="X93" s="77">
        <f>N93*0.4/18*W93</f>
        <v>3539.3999999999996</v>
      </c>
      <c r="Y93" s="78"/>
      <c r="Z93" s="77"/>
      <c r="AA93" s="80">
        <f t="shared" si="18"/>
        <v>104141.92916666664</v>
      </c>
      <c r="AB93" s="77"/>
      <c r="AC93" s="77"/>
      <c r="AD93" s="77"/>
      <c r="AE93" s="77"/>
      <c r="AF93" s="77"/>
      <c r="AG93" s="77"/>
      <c r="AH93" s="77"/>
      <c r="AI93" s="77">
        <f>N93*0.2*15/18</f>
        <v>2949.5</v>
      </c>
      <c r="AJ93" s="78">
        <v>10</v>
      </c>
      <c r="AK93" s="81">
        <f>L93*0.3*AJ93/18</f>
        <v>15263.662499999997</v>
      </c>
      <c r="AL93" s="78">
        <v>9</v>
      </c>
      <c r="AM93" s="81">
        <f>L93*0.3*AL93/18</f>
        <v>13737.296249999996</v>
      </c>
      <c r="AN93" s="78"/>
      <c r="AO93" s="81"/>
      <c r="AP93" s="78"/>
      <c r="AQ93" s="81"/>
      <c r="AR93" s="81"/>
      <c r="AS93" s="81"/>
      <c r="AT93" s="81"/>
      <c r="AU93" s="81"/>
      <c r="AV93" s="81"/>
      <c r="AW93" s="81"/>
      <c r="AX93" s="81"/>
      <c r="AY93" s="81">
        <f t="shared" si="24"/>
        <v>9666.9862499999981</v>
      </c>
      <c r="AZ93" s="81"/>
      <c r="BA93" s="71">
        <f t="array" ref="BA93">SUM(ROUND(AA93:AI93,0),ROUND(AK93:AK93,0),ROUND(AM93:AM93,0),ROUND(AO93:AO93,0),ROUND(AQ93:AZ93,0))</f>
        <v>145760</v>
      </c>
    </row>
    <row r="94" spans="1:53" s="20" customFormat="1" ht="12" thickBot="1" x14ac:dyDescent="0.25">
      <c r="A94" s="72">
        <v>54</v>
      </c>
      <c r="B94" s="73" t="s">
        <v>216</v>
      </c>
      <c r="C94" s="73" t="s">
        <v>209</v>
      </c>
      <c r="D94" s="74" t="s">
        <v>137</v>
      </c>
      <c r="E94" s="74" t="s">
        <v>78</v>
      </c>
      <c r="F94" s="73" t="s">
        <v>217</v>
      </c>
      <c r="G94" s="74" t="s">
        <v>139</v>
      </c>
      <c r="H94" s="75" t="s">
        <v>96</v>
      </c>
      <c r="I94" s="76">
        <v>3.32</v>
      </c>
      <c r="J94" s="77">
        <f t="shared" si="19"/>
        <v>58754.039999999994</v>
      </c>
      <c r="K94" s="78">
        <v>1.25</v>
      </c>
      <c r="L94" s="77">
        <f t="shared" si="20"/>
        <v>73442.549999999988</v>
      </c>
      <c r="M94" s="79"/>
      <c r="N94" s="77">
        <v>17697</v>
      </c>
      <c r="O94" s="78">
        <v>26</v>
      </c>
      <c r="P94" s="78"/>
      <c r="Q94" s="78"/>
      <c r="R94" s="80">
        <f t="shared" si="21"/>
        <v>106083.68333333332</v>
      </c>
      <c r="S94" s="80" t="str">
        <f t="shared" si="22"/>
        <v/>
      </c>
      <c r="T94" s="80" t="str">
        <f t="shared" si="23"/>
        <v/>
      </c>
      <c r="U94" s="78">
        <v>26</v>
      </c>
      <c r="V94" s="77">
        <f>N94*0.4/18*U94</f>
        <v>10224.933333333332</v>
      </c>
      <c r="W94" s="78"/>
      <c r="X94" s="77"/>
      <c r="Y94" s="78"/>
      <c r="Z94" s="77"/>
      <c r="AA94" s="80">
        <f t="shared" si="18"/>
        <v>116308.61666666665</v>
      </c>
      <c r="AB94" s="77"/>
      <c r="AC94" s="77"/>
      <c r="AD94" s="77"/>
      <c r="AE94" s="77"/>
      <c r="AF94" s="77"/>
      <c r="AG94" s="77"/>
      <c r="AH94" s="77"/>
      <c r="AI94" s="77">
        <f>N94*0.2*12/18</f>
        <v>2359.6000000000004</v>
      </c>
      <c r="AJ94" s="78">
        <v>26</v>
      </c>
      <c r="AK94" s="81">
        <f>L94*0.3*AJ94/18</f>
        <v>31825.104999999996</v>
      </c>
      <c r="AL94" s="78"/>
      <c r="AM94" s="81"/>
      <c r="AN94" s="78"/>
      <c r="AO94" s="81"/>
      <c r="AP94" s="78"/>
      <c r="AQ94" s="81"/>
      <c r="AR94" s="81"/>
      <c r="AS94" s="81"/>
      <c r="AT94" s="81"/>
      <c r="AU94" s="81"/>
      <c r="AV94" s="81"/>
      <c r="AW94" s="81"/>
      <c r="AX94" s="81"/>
      <c r="AY94" s="81">
        <f t="shared" si="24"/>
        <v>10608.368333333332</v>
      </c>
      <c r="AZ94" s="81"/>
      <c r="BA94" s="71">
        <f t="array" ref="BA94">SUM(ROUND(AA94:AI94,0),ROUND(AK94:AK94,0),ROUND(AM94:AM94,0),ROUND(AO94:AO94,0),ROUND(AQ94:AZ94,0))</f>
        <v>161102</v>
      </c>
    </row>
    <row r="95" spans="1:53" s="20" customFormat="1" ht="12" thickBot="1" x14ac:dyDescent="0.25">
      <c r="A95" s="72">
        <v>55</v>
      </c>
      <c r="B95" s="73" t="s">
        <v>218</v>
      </c>
      <c r="C95" s="73" t="s">
        <v>209</v>
      </c>
      <c r="D95" s="74" t="s">
        <v>137</v>
      </c>
      <c r="E95" s="74" t="s">
        <v>78</v>
      </c>
      <c r="F95" s="73" t="s">
        <v>219</v>
      </c>
      <c r="G95" s="74" t="s">
        <v>139</v>
      </c>
      <c r="H95" s="75" t="s">
        <v>96</v>
      </c>
      <c r="I95" s="76">
        <v>3.32</v>
      </c>
      <c r="J95" s="77">
        <f t="shared" si="19"/>
        <v>58754.039999999994</v>
      </c>
      <c r="K95" s="78">
        <v>1.25</v>
      </c>
      <c r="L95" s="77">
        <f t="shared" si="20"/>
        <v>73442.549999999988</v>
      </c>
      <c r="M95" s="79"/>
      <c r="N95" s="77">
        <v>17697</v>
      </c>
      <c r="O95" s="78">
        <v>26</v>
      </c>
      <c r="P95" s="78"/>
      <c r="Q95" s="78"/>
      <c r="R95" s="80">
        <f t="shared" si="21"/>
        <v>106083.68333333332</v>
      </c>
      <c r="S95" s="80" t="str">
        <f t="shared" si="22"/>
        <v/>
      </c>
      <c r="T95" s="80" t="str">
        <f t="shared" si="23"/>
        <v/>
      </c>
      <c r="U95" s="78">
        <v>26</v>
      </c>
      <c r="V95" s="77">
        <f>N95*0.4/18*U95</f>
        <v>10224.933333333332</v>
      </c>
      <c r="W95" s="78"/>
      <c r="X95" s="77"/>
      <c r="Y95" s="78"/>
      <c r="Z95" s="77"/>
      <c r="AA95" s="80">
        <f t="shared" si="18"/>
        <v>116308.61666666665</v>
      </c>
      <c r="AB95" s="77"/>
      <c r="AC95" s="77"/>
      <c r="AD95" s="77"/>
      <c r="AE95" s="77"/>
      <c r="AF95" s="77"/>
      <c r="AG95" s="77"/>
      <c r="AH95" s="77"/>
      <c r="AI95" s="77">
        <f>N95*0.2*18/18</f>
        <v>3539.4</v>
      </c>
      <c r="AJ95" s="78">
        <v>26</v>
      </c>
      <c r="AK95" s="81">
        <f>L95*0.3*AJ95/18</f>
        <v>31825.104999999996</v>
      </c>
      <c r="AL95" s="78"/>
      <c r="AM95" s="81"/>
      <c r="AN95" s="78"/>
      <c r="AO95" s="81"/>
      <c r="AP95" s="78"/>
      <c r="AQ95" s="81"/>
      <c r="AR95" s="81"/>
      <c r="AS95" s="81"/>
      <c r="AT95" s="81"/>
      <c r="AU95" s="81"/>
      <c r="AV95" s="81"/>
      <c r="AW95" s="81"/>
      <c r="AX95" s="81"/>
      <c r="AY95" s="81">
        <f t="shared" si="24"/>
        <v>10608.368333333332</v>
      </c>
      <c r="AZ95" s="81"/>
      <c r="BA95" s="71">
        <f t="array" ref="BA95">SUM(ROUND(AA95:AI95,0),ROUND(AK95:AK95,0),ROUND(AM95:AM95,0),ROUND(AO95:AO95,0),ROUND(AQ95:AZ95,0))</f>
        <v>162281</v>
      </c>
    </row>
    <row r="96" spans="1:53" s="20" customFormat="1" ht="12" thickBot="1" x14ac:dyDescent="0.25">
      <c r="A96" s="72">
        <v>56</v>
      </c>
      <c r="B96" s="73" t="s">
        <v>220</v>
      </c>
      <c r="C96" s="73" t="s">
        <v>221</v>
      </c>
      <c r="D96" s="74" t="s">
        <v>77</v>
      </c>
      <c r="E96" s="74" t="s">
        <v>83</v>
      </c>
      <c r="F96" s="73" t="s">
        <v>182</v>
      </c>
      <c r="G96" s="74" t="s">
        <v>84</v>
      </c>
      <c r="H96" s="75" t="s">
        <v>85</v>
      </c>
      <c r="I96" s="76">
        <v>5.32</v>
      </c>
      <c r="J96" s="77">
        <f t="shared" si="19"/>
        <v>94148.040000000008</v>
      </c>
      <c r="K96" s="78">
        <v>1.25</v>
      </c>
      <c r="L96" s="77">
        <f t="shared" si="20"/>
        <v>117685.05000000002</v>
      </c>
      <c r="M96" s="79"/>
      <c r="N96" s="77">
        <v>17697</v>
      </c>
      <c r="O96" s="78"/>
      <c r="P96" s="78">
        <v>9</v>
      </c>
      <c r="Q96" s="78">
        <v>19</v>
      </c>
      <c r="R96" s="80" t="str">
        <f t="shared" si="21"/>
        <v/>
      </c>
      <c r="S96" s="80">
        <f t="shared" si="22"/>
        <v>58842.525000000009</v>
      </c>
      <c r="T96" s="80">
        <f t="shared" si="23"/>
        <v>124223.10833333335</v>
      </c>
      <c r="U96" s="78"/>
      <c r="V96" s="77"/>
      <c r="W96" s="78"/>
      <c r="X96" s="77"/>
      <c r="Y96" s="78"/>
      <c r="Z96" s="77"/>
      <c r="AA96" s="80">
        <f t="shared" si="18"/>
        <v>183065.63333333336</v>
      </c>
      <c r="AB96" s="77"/>
      <c r="AC96" s="77"/>
      <c r="AD96" s="77"/>
      <c r="AE96" s="77"/>
      <c r="AF96" s="77">
        <f>N96*0.6</f>
        <v>10618.199999999999</v>
      </c>
      <c r="AG96" s="77"/>
      <c r="AH96" s="77"/>
      <c r="AI96" s="77">
        <f>N96*0.2*28/18</f>
        <v>5505.7333333333336</v>
      </c>
      <c r="AJ96" s="78"/>
      <c r="AK96" s="81"/>
      <c r="AL96" s="78">
        <v>9</v>
      </c>
      <c r="AM96" s="81">
        <f t="shared" ref="AM96:AM104" si="25">L96*0.3*AL96/18</f>
        <v>17652.757500000003</v>
      </c>
      <c r="AN96" s="78">
        <v>19</v>
      </c>
      <c r="AO96" s="81">
        <f>L96*0.3*AN96/18</f>
        <v>37266.93250000001</v>
      </c>
      <c r="AP96" s="78">
        <v>28</v>
      </c>
      <c r="AQ96" s="81"/>
      <c r="AR96" s="81">
        <f>L96*0.4*AP96/18</f>
        <v>73226.253333333356</v>
      </c>
      <c r="AS96" s="81"/>
      <c r="AT96" s="81"/>
      <c r="AU96" s="81"/>
      <c r="AV96" s="81"/>
      <c r="AW96" s="81"/>
      <c r="AX96" s="81"/>
      <c r="AY96" s="81">
        <f t="shared" si="24"/>
        <v>18306.563333333339</v>
      </c>
      <c r="AZ96" s="81"/>
      <c r="BA96" s="71">
        <f t="array" ref="BA96">SUM(ROUND(AA96:AI96,0),ROUND(AK96:AK96,0),ROUND(AM96:AM96,0),ROUND(AO96:AO96,0),ROUND(AQ96:AZ96,0))</f>
        <v>345643</v>
      </c>
    </row>
    <row r="97" spans="1:53" s="20" customFormat="1" ht="12" thickBot="1" x14ac:dyDescent="0.25">
      <c r="A97" s="72">
        <v>57</v>
      </c>
      <c r="B97" s="73" t="s">
        <v>222</v>
      </c>
      <c r="C97" s="73" t="s">
        <v>221</v>
      </c>
      <c r="D97" s="74" t="s">
        <v>77</v>
      </c>
      <c r="E97" s="74">
        <v>2</v>
      </c>
      <c r="F97" s="73" t="s">
        <v>223</v>
      </c>
      <c r="G97" s="74" t="s">
        <v>84</v>
      </c>
      <c r="H97" s="75" t="s">
        <v>81</v>
      </c>
      <c r="I97" s="76">
        <v>4.74</v>
      </c>
      <c r="J97" s="77">
        <f t="shared" si="19"/>
        <v>83883.78</v>
      </c>
      <c r="K97" s="78">
        <v>1.25</v>
      </c>
      <c r="L97" s="77">
        <f t="shared" si="20"/>
        <v>104854.72500000001</v>
      </c>
      <c r="M97" s="79"/>
      <c r="N97" s="77">
        <v>17697</v>
      </c>
      <c r="O97" s="78"/>
      <c r="P97" s="78">
        <v>23</v>
      </c>
      <c r="Q97" s="78">
        <v>4</v>
      </c>
      <c r="R97" s="80" t="str">
        <f t="shared" si="21"/>
        <v/>
      </c>
      <c r="S97" s="80">
        <f t="shared" si="22"/>
        <v>133981.03750000001</v>
      </c>
      <c r="T97" s="80">
        <f t="shared" si="23"/>
        <v>23301.050000000003</v>
      </c>
      <c r="U97" s="78"/>
      <c r="V97" s="77"/>
      <c r="W97" s="78"/>
      <c r="X97" s="77"/>
      <c r="Y97" s="78"/>
      <c r="Z97" s="77"/>
      <c r="AA97" s="80">
        <f t="shared" si="18"/>
        <v>157282.08750000002</v>
      </c>
      <c r="AB97" s="77"/>
      <c r="AC97" s="77"/>
      <c r="AD97" s="77"/>
      <c r="AE97" s="77"/>
      <c r="AF97" s="77">
        <f>N97*0.6</f>
        <v>10618.199999999999</v>
      </c>
      <c r="AG97" s="77"/>
      <c r="AH97" s="77"/>
      <c r="AI97" s="77">
        <f>N97*0.2*27/18</f>
        <v>5309.1</v>
      </c>
      <c r="AJ97" s="78"/>
      <c r="AK97" s="81"/>
      <c r="AL97" s="78">
        <v>23</v>
      </c>
      <c r="AM97" s="81">
        <f t="shared" si="25"/>
        <v>40194.311249999999</v>
      </c>
      <c r="AN97" s="78">
        <v>4</v>
      </c>
      <c r="AO97" s="81">
        <f>L97*0.3*AN97/18</f>
        <v>6990.3149999999996</v>
      </c>
      <c r="AP97" s="78">
        <v>27</v>
      </c>
      <c r="AQ97" s="81"/>
      <c r="AR97" s="81"/>
      <c r="AS97" s="81"/>
      <c r="AT97" s="81">
        <f>L97*0.3*AP97/18</f>
        <v>47184.626250000001</v>
      </c>
      <c r="AU97" s="81"/>
      <c r="AV97" s="81"/>
      <c r="AW97" s="81"/>
      <c r="AX97" s="81"/>
      <c r="AY97" s="81">
        <f t="shared" si="24"/>
        <v>15728.208750000003</v>
      </c>
      <c r="AZ97" s="81"/>
      <c r="BA97" s="71">
        <f t="array" ref="BA97">SUM(ROUND(AA97:AI97,0),ROUND(AK97:AK97,0),ROUND(AM97:AM97,0),ROUND(AO97:AO97,0),ROUND(AQ97:AZ97,0))</f>
        <v>283306</v>
      </c>
    </row>
    <row r="98" spans="1:53" s="20" customFormat="1" ht="12" thickBot="1" x14ac:dyDescent="0.25">
      <c r="A98" s="84">
        <v>58</v>
      </c>
      <c r="B98" s="82" t="s">
        <v>224</v>
      </c>
      <c r="C98" s="53" t="s">
        <v>225</v>
      </c>
      <c r="D98" s="54" t="s">
        <v>77</v>
      </c>
      <c r="E98" s="54" t="s">
        <v>78</v>
      </c>
      <c r="F98" s="53" t="s">
        <v>226</v>
      </c>
      <c r="G98" s="54" t="s">
        <v>84</v>
      </c>
      <c r="H98" s="55" t="s">
        <v>96</v>
      </c>
      <c r="I98" s="56">
        <v>4.7300000000000004</v>
      </c>
      <c r="J98" s="57">
        <f t="shared" si="19"/>
        <v>83706.810000000012</v>
      </c>
      <c r="K98" s="58">
        <v>1.25</v>
      </c>
      <c r="L98" s="57">
        <f t="shared" si="20"/>
        <v>104633.51250000001</v>
      </c>
      <c r="M98" s="59"/>
      <c r="N98" s="57">
        <v>17697</v>
      </c>
      <c r="O98" s="58"/>
      <c r="P98" s="58">
        <v>16</v>
      </c>
      <c r="Q98" s="58"/>
      <c r="R98" s="60" t="str">
        <f t="shared" si="21"/>
        <v/>
      </c>
      <c r="S98" s="60">
        <f t="shared" si="22"/>
        <v>93007.56666666668</v>
      </c>
      <c r="T98" s="60" t="str">
        <f t="shared" si="23"/>
        <v/>
      </c>
      <c r="U98" s="58"/>
      <c r="V98" s="57"/>
      <c r="W98" s="58"/>
      <c r="X98" s="57"/>
      <c r="Y98" s="58"/>
      <c r="Z98" s="57"/>
      <c r="AA98" s="60">
        <f t="shared" si="18"/>
        <v>93007.56666666668</v>
      </c>
      <c r="AB98" s="57"/>
      <c r="AC98" s="57"/>
      <c r="AD98" s="57"/>
      <c r="AE98" s="57"/>
      <c r="AF98" s="57">
        <f>N98*0.6</f>
        <v>10618.199999999999</v>
      </c>
      <c r="AG98" s="57"/>
      <c r="AH98" s="57"/>
      <c r="AI98" s="57">
        <f>N98*0.2*16/18</f>
        <v>3146.1333333333332</v>
      </c>
      <c r="AJ98" s="58"/>
      <c r="AK98" s="61"/>
      <c r="AL98" s="58">
        <v>16</v>
      </c>
      <c r="AM98" s="61">
        <f t="shared" si="25"/>
        <v>27902.270000000004</v>
      </c>
      <c r="AN98" s="58"/>
      <c r="AO98" s="61"/>
      <c r="AP98" s="58"/>
      <c r="AQ98" s="61"/>
      <c r="AR98" s="61"/>
      <c r="AS98" s="61"/>
      <c r="AT98" s="61"/>
      <c r="AU98" s="61"/>
      <c r="AV98" s="61"/>
      <c r="AW98" s="61"/>
      <c r="AX98" s="61"/>
      <c r="AY98" s="61">
        <f t="shared" si="24"/>
        <v>9300.756666666668</v>
      </c>
      <c r="AZ98" s="61"/>
      <c r="BA98" s="71">
        <f t="array" ref="BA98">SUM(ROUND(AA98:AI98,0),ROUND(AK98:AK98,0),ROUND(AM98:AM98,0),ROUND(AO98:AO98,0),ROUND(AQ98:AZ98,0))</f>
        <v>143975</v>
      </c>
    </row>
    <row r="99" spans="1:53" s="20" customFormat="1" ht="12" thickBot="1" x14ac:dyDescent="0.25">
      <c r="A99" s="87"/>
      <c r="B99" s="86"/>
      <c r="C99" s="42" t="s">
        <v>127</v>
      </c>
      <c r="D99" s="43" t="s">
        <v>77</v>
      </c>
      <c r="E99" s="43">
        <v>2</v>
      </c>
      <c r="F99" s="42" t="s">
        <v>226</v>
      </c>
      <c r="G99" s="43" t="s">
        <v>84</v>
      </c>
      <c r="H99" s="44" t="s">
        <v>81</v>
      </c>
      <c r="I99" s="45">
        <v>5.16</v>
      </c>
      <c r="J99" s="46">
        <f t="shared" si="19"/>
        <v>91316.52</v>
      </c>
      <c r="K99" s="47">
        <v>1.25</v>
      </c>
      <c r="L99" s="46">
        <f t="shared" si="20"/>
        <v>114145.65000000001</v>
      </c>
      <c r="M99" s="48"/>
      <c r="N99" s="46">
        <v>17697</v>
      </c>
      <c r="O99" s="47"/>
      <c r="P99" s="47">
        <v>2</v>
      </c>
      <c r="Q99" s="47"/>
      <c r="R99" s="49" t="str">
        <f t="shared" si="21"/>
        <v/>
      </c>
      <c r="S99" s="49">
        <f t="shared" si="22"/>
        <v>12682.85</v>
      </c>
      <c r="T99" s="49" t="str">
        <f t="shared" si="23"/>
        <v/>
      </c>
      <c r="U99" s="47"/>
      <c r="V99" s="46"/>
      <c r="W99" s="47"/>
      <c r="X99" s="46"/>
      <c r="Y99" s="47"/>
      <c r="Z99" s="46"/>
      <c r="AA99" s="49">
        <f t="shared" si="18"/>
        <v>12682.85</v>
      </c>
      <c r="AB99" s="46"/>
      <c r="AC99" s="46"/>
      <c r="AD99" s="46"/>
      <c r="AE99" s="46"/>
      <c r="AF99" s="46"/>
      <c r="AG99" s="46"/>
      <c r="AH99" s="46"/>
      <c r="AI99" s="46">
        <f>N99*0.2*2/18</f>
        <v>393.26666666666665</v>
      </c>
      <c r="AJ99" s="47"/>
      <c r="AK99" s="50"/>
      <c r="AL99" s="47">
        <v>2</v>
      </c>
      <c r="AM99" s="50">
        <f t="shared" si="25"/>
        <v>3804.855</v>
      </c>
      <c r="AN99" s="47"/>
      <c r="AO99" s="50"/>
      <c r="AP99" s="47"/>
      <c r="AQ99" s="50"/>
      <c r="AR99" s="50"/>
      <c r="AS99" s="50"/>
      <c r="AT99" s="50"/>
      <c r="AU99" s="50"/>
      <c r="AV99" s="50"/>
      <c r="AW99" s="50"/>
      <c r="AX99" s="50"/>
      <c r="AY99" s="50">
        <f t="shared" si="24"/>
        <v>1268.2850000000003</v>
      </c>
      <c r="AZ99" s="50"/>
      <c r="BA99" s="71">
        <f t="array" ref="BA99">SUM(ROUND(AA99:AI99,0),ROUND(AK99:AK99,0),ROUND(AM99:AM99,0),ROUND(AO99:AO99,0),ROUND(AQ99:AZ99,0))</f>
        <v>18149</v>
      </c>
    </row>
    <row r="100" spans="1:53" s="20" customFormat="1" ht="12" thickBot="1" x14ac:dyDescent="0.25">
      <c r="A100" s="72">
        <v>59</v>
      </c>
      <c r="B100" s="73" t="s">
        <v>227</v>
      </c>
      <c r="C100" s="73" t="s">
        <v>228</v>
      </c>
      <c r="D100" s="74" t="s">
        <v>77</v>
      </c>
      <c r="E100" s="74" t="s">
        <v>83</v>
      </c>
      <c r="F100" s="73" t="s">
        <v>229</v>
      </c>
      <c r="G100" s="74" t="s">
        <v>84</v>
      </c>
      <c r="H100" s="75" t="s">
        <v>85</v>
      </c>
      <c r="I100" s="76">
        <v>5.41</v>
      </c>
      <c r="J100" s="77">
        <f t="shared" si="19"/>
        <v>95740.77</v>
      </c>
      <c r="K100" s="78">
        <v>1.25</v>
      </c>
      <c r="L100" s="77">
        <f t="shared" si="20"/>
        <v>119675.96250000001</v>
      </c>
      <c r="M100" s="79"/>
      <c r="N100" s="77">
        <v>17697</v>
      </c>
      <c r="O100" s="78">
        <v>1</v>
      </c>
      <c r="P100" s="78">
        <v>20</v>
      </c>
      <c r="Q100" s="78">
        <v>6</v>
      </c>
      <c r="R100" s="80">
        <f t="shared" si="21"/>
        <v>6648.6645833333341</v>
      </c>
      <c r="S100" s="80">
        <f t="shared" si="22"/>
        <v>132973.29166666669</v>
      </c>
      <c r="T100" s="80">
        <f t="shared" si="23"/>
        <v>39891.987500000003</v>
      </c>
      <c r="U100" s="78"/>
      <c r="V100" s="77"/>
      <c r="W100" s="78"/>
      <c r="X100" s="77"/>
      <c r="Y100" s="78"/>
      <c r="Z100" s="77"/>
      <c r="AA100" s="80">
        <f t="shared" si="18"/>
        <v>179513.94375000003</v>
      </c>
      <c r="AB100" s="77"/>
      <c r="AC100" s="77"/>
      <c r="AD100" s="77"/>
      <c r="AE100" s="77"/>
      <c r="AF100" s="77"/>
      <c r="AG100" s="77"/>
      <c r="AH100" s="77"/>
      <c r="AI100" s="77">
        <f>N100*0.2*27/18</f>
        <v>5309.1</v>
      </c>
      <c r="AJ100" s="78">
        <v>1</v>
      </c>
      <c r="AK100" s="81">
        <f>L100*0.3*AJ100/18</f>
        <v>1994.599375</v>
      </c>
      <c r="AL100" s="78">
        <v>20</v>
      </c>
      <c r="AM100" s="81">
        <f t="shared" si="25"/>
        <v>39891.987500000003</v>
      </c>
      <c r="AN100" s="78">
        <v>6</v>
      </c>
      <c r="AO100" s="81">
        <f>L100*0.3*AN100/18</f>
        <v>11967.596249999999</v>
      </c>
      <c r="AP100" s="78"/>
      <c r="AQ100" s="81"/>
      <c r="AR100" s="81"/>
      <c r="AS100" s="81"/>
      <c r="AT100" s="81"/>
      <c r="AU100" s="81"/>
      <c r="AV100" s="81"/>
      <c r="AW100" s="81"/>
      <c r="AX100" s="81"/>
      <c r="AY100" s="81">
        <f t="shared" si="24"/>
        <v>17951.394375000003</v>
      </c>
      <c r="AZ100" s="81"/>
      <c r="BA100" s="71">
        <f t="array" ref="BA100">SUM(ROUND(AA100:AI100,0),ROUND(AK100:AK100,0),ROUND(AM100:AM100,0),ROUND(AO100:AO100,0),ROUND(AQ100:AZ100,0))</f>
        <v>256629</v>
      </c>
    </row>
    <row r="101" spans="1:53" s="20" customFormat="1" ht="12" thickBot="1" x14ac:dyDescent="0.25">
      <c r="A101" s="72">
        <v>60</v>
      </c>
      <c r="B101" s="73" t="s">
        <v>230</v>
      </c>
      <c r="C101" s="73" t="s">
        <v>228</v>
      </c>
      <c r="D101" s="74" t="s">
        <v>77</v>
      </c>
      <c r="E101" s="74">
        <v>1</v>
      </c>
      <c r="F101" s="73" t="s">
        <v>231</v>
      </c>
      <c r="G101" s="74" t="s">
        <v>84</v>
      </c>
      <c r="H101" s="75" t="s">
        <v>91</v>
      </c>
      <c r="I101" s="76">
        <v>5.12</v>
      </c>
      <c r="J101" s="77">
        <f t="shared" si="19"/>
        <v>90608.639999999999</v>
      </c>
      <c r="K101" s="78">
        <v>1.25</v>
      </c>
      <c r="L101" s="77">
        <f t="shared" si="20"/>
        <v>113260.8</v>
      </c>
      <c r="M101" s="79"/>
      <c r="N101" s="77">
        <v>17697</v>
      </c>
      <c r="O101" s="78">
        <v>16</v>
      </c>
      <c r="P101" s="78">
        <v>12</v>
      </c>
      <c r="Q101" s="78"/>
      <c r="R101" s="80">
        <f t="shared" si="21"/>
        <v>100676.26666666666</v>
      </c>
      <c r="S101" s="80">
        <f t="shared" si="22"/>
        <v>75507.199999999997</v>
      </c>
      <c r="T101" s="80" t="str">
        <f t="shared" si="23"/>
        <v/>
      </c>
      <c r="U101" s="78"/>
      <c r="V101" s="77"/>
      <c r="W101" s="78"/>
      <c r="X101" s="77"/>
      <c r="Y101" s="78"/>
      <c r="Z101" s="77"/>
      <c r="AA101" s="80">
        <f t="shared" si="18"/>
        <v>176183.46666666667</v>
      </c>
      <c r="AB101" s="77"/>
      <c r="AC101" s="77"/>
      <c r="AD101" s="77"/>
      <c r="AE101" s="77"/>
      <c r="AF101" s="77"/>
      <c r="AG101" s="77"/>
      <c r="AH101" s="77"/>
      <c r="AI101" s="77">
        <f>N101*0.2*22/18</f>
        <v>4325.9333333333334</v>
      </c>
      <c r="AJ101" s="78">
        <v>16</v>
      </c>
      <c r="AK101" s="81">
        <f>L101*0.3*AJ101/18</f>
        <v>30202.879999999997</v>
      </c>
      <c r="AL101" s="78">
        <v>12</v>
      </c>
      <c r="AM101" s="81">
        <f t="shared" si="25"/>
        <v>22652.16</v>
      </c>
      <c r="AN101" s="78"/>
      <c r="AO101" s="81"/>
      <c r="AP101" s="78"/>
      <c r="AQ101" s="81"/>
      <c r="AR101" s="81"/>
      <c r="AS101" s="81"/>
      <c r="AT101" s="81"/>
      <c r="AU101" s="81"/>
      <c r="AV101" s="81"/>
      <c r="AW101" s="81"/>
      <c r="AX101" s="81"/>
      <c r="AY101" s="81">
        <f t="shared" si="24"/>
        <v>17618.346666666668</v>
      </c>
      <c r="AZ101" s="81"/>
      <c r="BA101" s="71">
        <f t="array" ref="BA101">SUM(ROUND(AA101:AI101,0),ROUND(AK101:AK101,0),ROUND(AM101:AM101,0),ROUND(AO101:AO101,0),ROUND(AQ101:AZ101,0))</f>
        <v>250982</v>
      </c>
    </row>
    <row r="102" spans="1:53" s="20" customFormat="1" ht="12" thickBot="1" x14ac:dyDescent="0.25">
      <c r="A102" s="72">
        <v>61</v>
      </c>
      <c r="B102" s="73" t="s">
        <v>232</v>
      </c>
      <c r="C102" s="73" t="s">
        <v>228</v>
      </c>
      <c r="D102" s="74" t="s">
        <v>77</v>
      </c>
      <c r="E102" s="74">
        <v>1</v>
      </c>
      <c r="F102" s="73" t="s">
        <v>199</v>
      </c>
      <c r="G102" s="74" t="s">
        <v>84</v>
      </c>
      <c r="H102" s="75" t="s">
        <v>91</v>
      </c>
      <c r="I102" s="76">
        <v>5.12</v>
      </c>
      <c r="J102" s="77">
        <f t="shared" si="19"/>
        <v>90608.639999999999</v>
      </c>
      <c r="K102" s="78">
        <v>1.25</v>
      </c>
      <c r="L102" s="77">
        <f t="shared" si="20"/>
        <v>113260.8</v>
      </c>
      <c r="M102" s="79"/>
      <c r="N102" s="77">
        <v>17697</v>
      </c>
      <c r="O102" s="78"/>
      <c r="P102" s="78">
        <v>17</v>
      </c>
      <c r="Q102" s="78">
        <v>7</v>
      </c>
      <c r="R102" s="80" t="str">
        <f t="shared" si="21"/>
        <v/>
      </c>
      <c r="S102" s="80">
        <f t="shared" si="22"/>
        <v>106968.53333333333</v>
      </c>
      <c r="T102" s="80">
        <f t="shared" si="23"/>
        <v>44045.866666666669</v>
      </c>
      <c r="U102" s="78"/>
      <c r="V102" s="77"/>
      <c r="W102" s="78"/>
      <c r="X102" s="77"/>
      <c r="Y102" s="78"/>
      <c r="Z102" s="77"/>
      <c r="AA102" s="80">
        <f t="shared" si="18"/>
        <v>151014.39999999999</v>
      </c>
      <c r="AB102" s="77"/>
      <c r="AC102" s="77"/>
      <c r="AD102" s="77"/>
      <c r="AE102" s="77"/>
      <c r="AF102" s="77"/>
      <c r="AG102" s="77"/>
      <c r="AH102" s="77"/>
      <c r="AI102" s="77">
        <f>N102*0.2*24/18</f>
        <v>4719.2000000000007</v>
      </c>
      <c r="AJ102" s="78"/>
      <c r="AK102" s="81"/>
      <c r="AL102" s="78">
        <v>17</v>
      </c>
      <c r="AM102" s="81">
        <f t="shared" si="25"/>
        <v>32090.559999999998</v>
      </c>
      <c r="AN102" s="78">
        <v>7</v>
      </c>
      <c r="AO102" s="81">
        <f>L102*0.3*AN102/18</f>
        <v>13213.76</v>
      </c>
      <c r="AP102" s="78"/>
      <c r="AQ102" s="81"/>
      <c r="AR102" s="81"/>
      <c r="AS102" s="81"/>
      <c r="AT102" s="81"/>
      <c r="AU102" s="81"/>
      <c r="AV102" s="81"/>
      <c r="AW102" s="81"/>
      <c r="AX102" s="81"/>
      <c r="AY102" s="81">
        <f t="shared" si="24"/>
        <v>15101.440000000002</v>
      </c>
      <c r="AZ102" s="81"/>
      <c r="BA102" s="71">
        <f t="array" ref="BA102">SUM(ROUND(AA102:AI102,0),ROUND(AK102:AK102,0),ROUND(AM102:AM102,0),ROUND(AO102:AO102,0),ROUND(AQ102:AZ102,0))</f>
        <v>216139</v>
      </c>
    </row>
    <row r="103" spans="1:53" s="20" customFormat="1" ht="12" thickBot="1" x14ac:dyDescent="0.25">
      <c r="A103" s="72">
        <v>62</v>
      </c>
      <c r="B103" s="73" t="s">
        <v>233</v>
      </c>
      <c r="C103" s="73" t="s">
        <v>228</v>
      </c>
      <c r="D103" s="74" t="s">
        <v>77</v>
      </c>
      <c r="E103" s="74" t="s">
        <v>78</v>
      </c>
      <c r="F103" s="73" t="s">
        <v>197</v>
      </c>
      <c r="G103" s="74" t="s">
        <v>84</v>
      </c>
      <c r="H103" s="75" t="s">
        <v>96</v>
      </c>
      <c r="I103" s="76">
        <v>4.2699999999999996</v>
      </c>
      <c r="J103" s="77">
        <f t="shared" si="19"/>
        <v>75566.189999999988</v>
      </c>
      <c r="K103" s="78">
        <v>1.25</v>
      </c>
      <c r="L103" s="77">
        <f t="shared" si="20"/>
        <v>94457.737499999988</v>
      </c>
      <c r="M103" s="79"/>
      <c r="N103" s="77">
        <v>17697</v>
      </c>
      <c r="O103" s="78">
        <v>15</v>
      </c>
      <c r="P103" s="78">
        <v>9</v>
      </c>
      <c r="Q103" s="78"/>
      <c r="R103" s="80">
        <f t="shared" si="21"/>
        <v>78714.781249999985</v>
      </c>
      <c r="S103" s="80">
        <f t="shared" si="22"/>
        <v>47228.868749999994</v>
      </c>
      <c r="T103" s="80" t="str">
        <f t="shared" si="23"/>
        <v/>
      </c>
      <c r="U103" s="78"/>
      <c r="V103" s="77"/>
      <c r="W103" s="78"/>
      <c r="X103" s="77"/>
      <c r="Y103" s="78"/>
      <c r="Z103" s="77"/>
      <c r="AA103" s="80">
        <f t="shared" si="18"/>
        <v>125943.64999999998</v>
      </c>
      <c r="AB103" s="77"/>
      <c r="AC103" s="77"/>
      <c r="AD103" s="77"/>
      <c r="AE103" s="77"/>
      <c r="AF103" s="77"/>
      <c r="AG103" s="77"/>
      <c r="AH103" s="77"/>
      <c r="AI103" s="77">
        <f>N103*0.2*21/18</f>
        <v>4129.3</v>
      </c>
      <c r="AJ103" s="78">
        <v>15</v>
      </c>
      <c r="AK103" s="81">
        <f>L103*0.3*AJ103/18</f>
        <v>23614.434374999997</v>
      </c>
      <c r="AL103" s="78">
        <v>9</v>
      </c>
      <c r="AM103" s="81">
        <f t="shared" si="25"/>
        <v>14168.660624999999</v>
      </c>
      <c r="AN103" s="78"/>
      <c r="AO103" s="81"/>
      <c r="AP103" s="78"/>
      <c r="AQ103" s="81"/>
      <c r="AR103" s="81"/>
      <c r="AS103" s="81"/>
      <c r="AT103" s="81"/>
      <c r="AU103" s="81"/>
      <c r="AV103" s="81"/>
      <c r="AW103" s="81"/>
      <c r="AX103" s="81"/>
      <c r="AY103" s="81">
        <f t="shared" si="24"/>
        <v>12594.364999999998</v>
      </c>
      <c r="AZ103" s="81"/>
      <c r="BA103" s="71">
        <f t="array" ref="BA103">SUM(ROUND(AA103:AI103,0),ROUND(AK103:AK103,0),ROUND(AM103:AM103,0),ROUND(AO103:AO103,0),ROUND(AQ103:AZ103,0))</f>
        <v>180450</v>
      </c>
    </row>
    <row r="104" spans="1:53" s="20" customFormat="1" ht="12" thickBot="1" x14ac:dyDescent="0.25">
      <c r="A104" s="72">
        <v>63</v>
      </c>
      <c r="B104" s="73" t="s">
        <v>234</v>
      </c>
      <c r="C104" s="73" t="s">
        <v>228</v>
      </c>
      <c r="D104" s="74" t="s">
        <v>77</v>
      </c>
      <c r="E104" s="74">
        <v>1</v>
      </c>
      <c r="F104" s="73" t="s">
        <v>235</v>
      </c>
      <c r="G104" s="74" t="s">
        <v>84</v>
      </c>
      <c r="H104" s="75" t="s">
        <v>91</v>
      </c>
      <c r="I104" s="76">
        <v>5.12</v>
      </c>
      <c r="J104" s="77">
        <f t="shared" si="19"/>
        <v>90608.639999999999</v>
      </c>
      <c r="K104" s="78">
        <v>1.25</v>
      </c>
      <c r="L104" s="77">
        <f t="shared" si="20"/>
        <v>113260.8</v>
      </c>
      <c r="M104" s="79"/>
      <c r="N104" s="77">
        <v>17697</v>
      </c>
      <c r="O104" s="78">
        <v>6</v>
      </c>
      <c r="P104" s="78">
        <v>22</v>
      </c>
      <c r="Q104" s="78"/>
      <c r="R104" s="80">
        <f t="shared" si="21"/>
        <v>37753.599999999999</v>
      </c>
      <c r="S104" s="80">
        <f t="shared" si="22"/>
        <v>138429.86666666667</v>
      </c>
      <c r="T104" s="80" t="str">
        <f t="shared" si="23"/>
        <v/>
      </c>
      <c r="U104" s="78"/>
      <c r="V104" s="77"/>
      <c r="W104" s="78"/>
      <c r="X104" s="77"/>
      <c r="Y104" s="78"/>
      <c r="Z104" s="77"/>
      <c r="AA104" s="80">
        <f t="shared" si="18"/>
        <v>176183.46666666667</v>
      </c>
      <c r="AB104" s="77"/>
      <c r="AC104" s="77"/>
      <c r="AD104" s="77"/>
      <c r="AE104" s="77"/>
      <c r="AF104" s="77"/>
      <c r="AG104" s="77"/>
      <c r="AH104" s="77"/>
      <c r="AI104" s="77">
        <f>N104*0.2*25/18</f>
        <v>4915.833333333333</v>
      </c>
      <c r="AJ104" s="78">
        <v>6</v>
      </c>
      <c r="AK104" s="81">
        <f>L104*0.3*AJ104/18</f>
        <v>11326.08</v>
      </c>
      <c r="AL104" s="78">
        <v>22</v>
      </c>
      <c r="AM104" s="81">
        <f t="shared" si="25"/>
        <v>41528.959999999992</v>
      </c>
      <c r="AN104" s="78"/>
      <c r="AO104" s="81"/>
      <c r="AP104" s="78"/>
      <c r="AQ104" s="81"/>
      <c r="AR104" s="81"/>
      <c r="AS104" s="81"/>
      <c r="AT104" s="81"/>
      <c r="AU104" s="81"/>
      <c r="AV104" s="81"/>
      <c r="AW104" s="81"/>
      <c r="AX104" s="81"/>
      <c r="AY104" s="81">
        <f t="shared" si="24"/>
        <v>17618.346666666668</v>
      </c>
      <c r="AZ104" s="81"/>
      <c r="BA104" s="71">
        <f t="array" ref="BA104">SUM(ROUND(AA104:AI104,0),ROUND(AK104:AK104,0),ROUND(AM104:AM104,0),ROUND(AO104:AO104,0),ROUND(AQ104:AZ104,0))</f>
        <v>251572</v>
      </c>
    </row>
    <row r="105" spans="1:53" s="20" customFormat="1" ht="12" thickBot="1" x14ac:dyDescent="0.25">
      <c r="A105" s="84">
        <v>64</v>
      </c>
      <c r="B105" s="82" t="s">
        <v>236</v>
      </c>
      <c r="C105" s="53" t="s">
        <v>237</v>
      </c>
      <c r="D105" s="54" t="s">
        <v>77</v>
      </c>
      <c r="E105" s="54">
        <v>2</v>
      </c>
      <c r="F105" s="53" t="s">
        <v>175</v>
      </c>
      <c r="G105" s="54" t="s">
        <v>84</v>
      </c>
      <c r="H105" s="55" t="s">
        <v>81</v>
      </c>
      <c r="I105" s="56">
        <v>5.16</v>
      </c>
      <c r="J105" s="57">
        <f t="shared" si="19"/>
        <v>91316.52</v>
      </c>
      <c r="K105" s="58">
        <v>1.25</v>
      </c>
      <c r="L105" s="57">
        <f t="shared" si="20"/>
        <v>114145.65000000001</v>
      </c>
      <c r="M105" s="59">
        <v>1</v>
      </c>
      <c r="N105" s="57">
        <v>17697</v>
      </c>
      <c r="O105" s="58"/>
      <c r="P105" s="58"/>
      <c r="Q105" s="58">
        <v>4</v>
      </c>
      <c r="R105" s="60"/>
      <c r="S105" s="60"/>
      <c r="T105" s="60"/>
      <c r="U105" s="58"/>
      <c r="V105" s="57"/>
      <c r="W105" s="58"/>
      <c r="X105" s="57"/>
      <c r="Y105" s="58"/>
      <c r="Z105" s="57"/>
      <c r="AA105" s="60">
        <f t="shared" si="18"/>
        <v>0</v>
      </c>
      <c r="AB105" s="57"/>
      <c r="AC105" s="57"/>
      <c r="AD105" s="57"/>
      <c r="AE105" s="57"/>
      <c r="AF105" s="57"/>
      <c r="AG105" s="57"/>
      <c r="AH105" s="57"/>
      <c r="AI105" s="57"/>
      <c r="AJ105" s="58"/>
      <c r="AK105" s="61"/>
      <c r="AL105" s="58"/>
      <c r="AM105" s="61"/>
      <c r="AN105" s="58"/>
      <c r="AO105" s="61"/>
      <c r="AP105" s="58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>
        <f>L105*M105</f>
        <v>114145.65000000001</v>
      </c>
      <c r="BA105" s="71">
        <f t="array" ref="BA105">SUM(ROUND(AA105:AI105,0),ROUND(AK105:AK105,0),ROUND(AM105:AM105,0),ROUND(AO105:AO105,0),ROUND(AQ105:AZ105,0))</f>
        <v>114146</v>
      </c>
    </row>
    <row r="106" spans="1:53" s="20" customFormat="1" ht="12" thickBot="1" x14ac:dyDescent="0.25">
      <c r="A106" s="87"/>
      <c r="B106" s="86"/>
      <c r="C106" s="42" t="s">
        <v>238</v>
      </c>
      <c r="D106" s="43" t="s">
        <v>77</v>
      </c>
      <c r="E106" s="43">
        <v>2</v>
      </c>
      <c r="F106" s="42" t="s">
        <v>175</v>
      </c>
      <c r="G106" s="43" t="s">
        <v>84</v>
      </c>
      <c r="H106" s="44" t="s">
        <v>81</v>
      </c>
      <c r="I106" s="45">
        <v>5.16</v>
      </c>
      <c r="J106" s="46">
        <f t="shared" si="19"/>
        <v>91316.52</v>
      </c>
      <c r="K106" s="47">
        <v>1.25</v>
      </c>
      <c r="L106" s="46">
        <f t="shared" si="20"/>
        <v>114145.65000000001</v>
      </c>
      <c r="M106" s="48"/>
      <c r="N106" s="46">
        <v>17697</v>
      </c>
      <c r="O106" s="47"/>
      <c r="P106" s="47"/>
      <c r="Q106" s="47"/>
      <c r="R106" s="49" t="str">
        <f t="shared" ref="R106:T109" si="26">IF(O106&gt;0,$L106/18*O106,"")</f>
        <v/>
      </c>
      <c r="S106" s="49" t="str">
        <f t="shared" si="26"/>
        <v/>
      </c>
      <c r="T106" s="49" t="str">
        <f t="shared" si="26"/>
        <v/>
      </c>
      <c r="U106" s="47"/>
      <c r="V106" s="46"/>
      <c r="W106" s="47"/>
      <c r="X106" s="46"/>
      <c r="Y106" s="47"/>
      <c r="Z106" s="46"/>
      <c r="AA106" s="49">
        <f t="shared" si="18"/>
        <v>0</v>
      </c>
      <c r="AB106" s="46"/>
      <c r="AC106" s="46"/>
      <c r="AD106" s="46"/>
      <c r="AE106" s="46"/>
      <c r="AF106" s="46"/>
      <c r="AG106" s="46"/>
      <c r="AH106" s="46"/>
      <c r="AI106" s="46">
        <f>N106*0.2*4/18</f>
        <v>786.5333333333333</v>
      </c>
      <c r="AJ106" s="47"/>
      <c r="AK106" s="50"/>
      <c r="AL106" s="47"/>
      <c r="AM106" s="50"/>
      <c r="AN106" s="47">
        <v>4</v>
      </c>
      <c r="AO106" s="50">
        <f>L106*0.3*AN106/18</f>
        <v>7609.71</v>
      </c>
      <c r="AP106" s="47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71">
        <f t="array" ref="BA106">SUM(ROUND(AA106:AI106,0),ROUND(AK106:AK106,0),ROUND(AM106:AM106,0),ROUND(AO106:AO106,0),ROUND(AQ106:AZ106,0))</f>
        <v>8397</v>
      </c>
    </row>
    <row r="107" spans="1:53" s="20" customFormat="1" ht="12" thickBot="1" x14ac:dyDescent="0.25">
      <c r="A107" s="72">
        <v>65</v>
      </c>
      <c r="B107" s="73" t="s">
        <v>239</v>
      </c>
      <c r="C107" s="73" t="s">
        <v>97</v>
      </c>
      <c r="D107" s="74" t="s">
        <v>77</v>
      </c>
      <c r="E107" s="74">
        <v>2</v>
      </c>
      <c r="F107" s="73" t="s">
        <v>240</v>
      </c>
      <c r="G107" s="74" t="s">
        <v>84</v>
      </c>
      <c r="H107" s="75" t="s">
        <v>81</v>
      </c>
      <c r="I107" s="76">
        <v>5.16</v>
      </c>
      <c r="J107" s="77">
        <f t="shared" si="19"/>
        <v>91316.52</v>
      </c>
      <c r="K107" s="78">
        <v>1.25</v>
      </c>
      <c r="L107" s="77">
        <f t="shared" si="20"/>
        <v>114145.65000000001</v>
      </c>
      <c r="M107" s="79"/>
      <c r="N107" s="77">
        <v>17697</v>
      </c>
      <c r="O107" s="78"/>
      <c r="P107" s="78">
        <v>11</v>
      </c>
      <c r="Q107" s="78">
        <v>3</v>
      </c>
      <c r="R107" s="80" t="str">
        <f t="shared" si="26"/>
        <v/>
      </c>
      <c r="S107" s="80">
        <f t="shared" si="26"/>
        <v>69755.675000000003</v>
      </c>
      <c r="T107" s="80">
        <f t="shared" si="26"/>
        <v>19024.275000000001</v>
      </c>
      <c r="U107" s="78"/>
      <c r="V107" s="77"/>
      <c r="W107" s="78"/>
      <c r="X107" s="77"/>
      <c r="Y107" s="78"/>
      <c r="Z107" s="77"/>
      <c r="AA107" s="80">
        <f t="shared" si="18"/>
        <v>88779.950000000012</v>
      </c>
      <c r="AB107" s="77"/>
      <c r="AC107" s="77"/>
      <c r="AD107" s="77"/>
      <c r="AE107" s="77"/>
      <c r="AF107" s="77">
        <f>N107*0.6</f>
        <v>10618.199999999999</v>
      </c>
      <c r="AG107" s="77"/>
      <c r="AH107" s="77"/>
      <c r="AI107" s="77">
        <f>N107*0.2*14/18</f>
        <v>2752.8666666666668</v>
      </c>
      <c r="AJ107" s="78"/>
      <c r="AK107" s="81"/>
      <c r="AL107" s="78">
        <v>11</v>
      </c>
      <c r="AM107" s="81">
        <f>L107*0.3*AL107/18</f>
        <v>20926.702499999999</v>
      </c>
      <c r="AN107" s="78">
        <v>3</v>
      </c>
      <c r="AO107" s="81">
        <f>L107*0.3*AN107/18</f>
        <v>5707.2824999999993</v>
      </c>
      <c r="AP107" s="78"/>
      <c r="AQ107" s="81"/>
      <c r="AR107" s="81"/>
      <c r="AS107" s="81"/>
      <c r="AT107" s="81"/>
      <c r="AU107" s="81"/>
      <c r="AV107" s="81"/>
      <c r="AW107" s="81"/>
      <c r="AX107" s="81"/>
      <c r="AY107" s="81">
        <f>L107*0.1*SUM(O107:Q107)/18</f>
        <v>8877.9950000000026</v>
      </c>
      <c r="AZ107" s="81"/>
      <c r="BA107" s="71">
        <f t="array" ref="BA107">SUM(ROUND(AA107:AI107,0),ROUND(AK107:AK107,0),ROUND(AM107:AM107,0),ROUND(AO107:AO107,0),ROUND(AQ107:AZ107,0))</f>
        <v>137663</v>
      </c>
    </row>
    <row r="108" spans="1:53" s="20" customFormat="1" ht="12" thickBot="1" x14ac:dyDescent="0.25">
      <c r="A108" s="72">
        <v>66</v>
      </c>
      <c r="B108" s="73" t="s">
        <v>241</v>
      </c>
      <c r="C108" s="73" t="s">
        <v>242</v>
      </c>
      <c r="D108" s="74" t="s">
        <v>77</v>
      </c>
      <c r="E108" s="74" t="s">
        <v>83</v>
      </c>
      <c r="F108" s="73" t="s">
        <v>243</v>
      </c>
      <c r="G108" s="74" t="s">
        <v>84</v>
      </c>
      <c r="H108" s="75" t="s">
        <v>85</v>
      </c>
      <c r="I108" s="76">
        <v>5.41</v>
      </c>
      <c r="J108" s="77">
        <f t="shared" si="19"/>
        <v>95740.77</v>
      </c>
      <c r="K108" s="78">
        <v>1.25</v>
      </c>
      <c r="L108" s="77">
        <f t="shared" si="20"/>
        <v>119675.96250000001</v>
      </c>
      <c r="M108" s="79"/>
      <c r="N108" s="77">
        <v>17697</v>
      </c>
      <c r="O108" s="78">
        <v>7</v>
      </c>
      <c r="P108" s="78">
        <v>4</v>
      </c>
      <c r="Q108" s="78"/>
      <c r="R108" s="80">
        <f t="shared" si="26"/>
        <v>46540.652083333342</v>
      </c>
      <c r="S108" s="80">
        <f t="shared" si="26"/>
        <v>26594.658333333336</v>
      </c>
      <c r="T108" s="80" t="str">
        <f t="shared" si="26"/>
        <v/>
      </c>
      <c r="U108" s="78"/>
      <c r="V108" s="77"/>
      <c r="W108" s="78"/>
      <c r="X108" s="77"/>
      <c r="Y108" s="78"/>
      <c r="Z108" s="77"/>
      <c r="AA108" s="80">
        <f t="shared" ref="AA108:AA139" si="27">SUM(R108:T108,V108,X108,Z108)</f>
        <v>73135.310416666674</v>
      </c>
      <c r="AB108" s="77"/>
      <c r="AC108" s="77"/>
      <c r="AD108" s="77"/>
      <c r="AE108" s="77"/>
      <c r="AF108" s="77"/>
      <c r="AG108" s="77"/>
      <c r="AH108" s="77"/>
      <c r="AI108" s="77">
        <f>N108*0.2*11/18</f>
        <v>2162.9666666666667</v>
      </c>
      <c r="AJ108" s="78">
        <v>7</v>
      </c>
      <c r="AK108" s="81">
        <f>L108*0.3*AJ108/18</f>
        <v>13962.195625</v>
      </c>
      <c r="AL108" s="78">
        <v>4</v>
      </c>
      <c r="AM108" s="81">
        <f>L108*0.3*AL108/18</f>
        <v>7978.3975</v>
      </c>
      <c r="AN108" s="78"/>
      <c r="AO108" s="81"/>
      <c r="AP108" s="78"/>
      <c r="AQ108" s="81"/>
      <c r="AR108" s="81"/>
      <c r="AS108" s="81"/>
      <c r="AT108" s="81"/>
      <c r="AU108" s="81"/>
      <c r="AV108" s="81"/>
      <c r="AW108" s="81"/>
      <c r="AX108" s="81"/>
      <c r="AY108" s="81">
        <f>L108*0.1*SUM(O108:Q108)/18</f>
        <v>7313.531041666668</v>
      </c>
      <c r="AZ108" s="81"/>
      <c r="BA108" s="71">
        <f t="array" ref="BA108">SUM(ROUND(AA108:AI108,0),ROUND(AK108:AK108,0),ROUND(AM108:AM108,0),ROUND(AO108:AO108,0),ROUND(AQ108:AZ108,0))</f>
        <v>104552</v>
      </c>
    </row>
    <row r="109" spans="1:53" s="20" customFormat="1" ht="12" thickBot="1" x14ac:dyDescent="0.25">
      <c r="A109" s="72">
        <v>67</v>
      </c>
      <c r="B109" s="73" t="s">
        <v>244</v>
      </c>
      <c r="C109" s="73" t="s">
        <v>245</v>
      </c>
      <c r="D109" s="74" t="s">
        <v>137</v>
      </c>
      <c r="E109" s="74" t="s">
        <v>78</v>
      </c>
      <c r="F109" s="73" t="s">
        <v>246</v>
      </c>
      <c r="G109" s="74" t="s">
        <v>139</v>
      </c>
      <c r="H109" s="75" t="s">
        <v>96</v>
      </c>
      <c r="I109" s="76">
        <v>3.41</v>
      </c>
      <c r="J109" s="77">
        <f t="shared" si="19"/>
        <v>60346.770000000004</v>
      </c>
      <c r="K109" s="78">
        <v>1.25</v>
      </c>
      <c r="L109" s="77">
        <f t="shared" si="20"/>
        <v>75433.462500000009</v>
      </c>
      <c r="M109" s="79"/>
      <c r="N109" s="77">
        <v>17697</v>
      </c>
      <c r="O109" s="78">
        <v>20</v>
      </c>
      <c r="P109" s="78"/>
      <c r="Q109" s="78"/>
      <c r="R109" s="80">
        <f t="shared" si="26"/>
        <v>83814.958333333343</v>
      </c>
      <c r="S109" s="80" t="str">
        <f t="shared" si="26"/>
        <v/>
      </c>
      <c r="T109" s="80" t="str">
        <f t="shared" si="26"/>
        <v/>
      </c>
      <c r="U109" s="78"/>
      <c r="V109" s="77"/>
      <c r="W109" s="78"/>
      <c r="X109" s="77"/>
      <c r="Y109" s="78"/>
      <c r="Z109" s="77"/>
      <c r="AA109" s="80">
        <f t="shared" si="27"/>
        <v>83814.958333333343</v>
      </c>
      <c r="AB109" s="77"/>
      <c r="AC109" s="77"/>
      <c r="AD109" s="77"/>
      <c r="AE109" s="77"/>
      <c r="AF109" s="77"/>
      <c r="AG109" s="77"/>
      <c r="AH109" s="77"/>
      <c r="AI109" s="77">
        <f>N109*0.2*20/18</f>
        <v>3932.6666666666665</v>
      </c>
      <c r="AJ109" s="78">
        <v>20</v>
      </c>
      <c r="AK109" s="81">
        <f>L109*0.3*AJ109/18</f>
        <v>25144.487500000003</v>
      </c>
      <c r="AL109" s="78"/>
      <c r="AM109" s="81"/>
      <c r="AN109" s="78"/>
      <c r="AO109" s="81"/>
      <c r="AP109" s="78"/>
      <c r="AQ109" s="81"/>
      <c r="AR109" s="81"/>
      <c r="AS109" s="81"/>
      <c r="AT109" s="81"/>
      <c r="AU109" s="81"/>
      <c r="AV109" s="81"/>
      <c r="AW109" s="81"/>
      <c r="AX109" s="81"/>
      <c r="AY109" s="81">
        <f>L109*0.1*SUM(O109:Q109)/18</f>
        <v>8381.4958333333343</v>
      </c>
      <c r="AZ109" s="81"/>
      <c r="BA109" s="71">
        <f t="array" ref="BA109">SUM(ROUND(AA109:AI109,0),ROUND(AK109:AK109,0),ROUND(AM109:AM109,0),ROUND(AO109:AO109,0),ROUND(AQ109:AZ109,0))</f>
        <v>121273</v>
      </c>
    </row>
    <row r="110" spans="1:53" s="20" customFormat="1" ht="12" thickBot="1" x14ac:dyDescent="0.25">
      <c r="A110" s="72">
        <v>68</v>
      </c>
      <c r="B110" s="73" t="s">
        <v>247</v>
      </c>
      <c r="C110" s="73" t="s">
        <v>248</v>
      </c>
      <c r="D110" s="74" t="s">
        <v>77</v>
      </c>
      <c r="E110" s="74" t="s">
        <v>78</v>
      </c>
      <c r="F110" s="73" t="s">
        <v>197</v>
      </c>
      <c r="G110" s="74" t="s">
        <v>111</v>
      </c>
      <c r="H110" s="75" t="s">
        <v>96</v>
      </c>
      <c r="I110" s="76">
        <v>3.78</v>
      </c>
      <c r="J110" s="77">
        <f t="shared" si="19"/>
        <v>66894.66</v>
      </c>
      <c r="K110" s="78">
        <v>1.25</v>
      </c>
      <c r="L110" s="77">
        <f t="shared" si="20"/>
        <v>83618.325000000012</v>
      </c>
      <c r="M110" s="79">
        <v>1</v>
      </c>
      <c r="N110" s="77">
        <v>17697</v>
      </c>
      <c r="O110" s="78"/>
      <c r="P110" s="78"/>
      <c r="Q110" s="78"/>
      <c r="R110" s="80"/>
      <c r="S110" s="80"/>
      <c r="T110" s="80"/>
      <c r="U110" s="78"/>
      <c r="V110" s="77"/>
      <c r="W110" s="78"/>
      <c r="X110" s="77"/>
      <c r="Y110" s="78"/>
      <c r="Z110" s="77"/>
      <c r="AA110" s="80">
        <f t="shared" si="27"/>
        <v>0</v>
      </c>
      <c r="AB110" s="77"/>
      <c r="AC110" s="77"/>
      <c r="AD110" s="77"/>
      <c r="AE110" s="77"/>
      <c r="AF110" s="77">
        <f>N110*0.6</f>
        <v>10618.199999999999</v>
      </c>
      <c r="AG110" s="77"/>
      <c r="AH110" s="77"/>
      <c r="AI110" s="77"/>
      <c r="AJ110" s="78"/>
      <c r="AK110" s="81"/>
      <c r="AL110" s="78"/>
      <c r="AM110" s="81"/>
      <c r="AN110" s="78"/>
      <c r="AO110" s="81"/>
      <c r="AP110" s="78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>
        <f>L110*M110</f>
        <v>83618.325000000012</v>
      </c>
      <c r="BA110" s="71">
        <f t="array" ref="BA110">SUM(ROUND(AA110:AI110,0),ROUND(AK110:AK110,0),ROUND(AM110:AM110,0),ROUND(AO110:AO110,0),ROUND(AQ110:AZ110,0))</f>
        <v>94236</v>
      </c>
    </row>
    <row r="111" spans="1:53" s="20" customFormat="1" ht="12" thickBot="1" x14ac:dyDescent="0.25">
      <c r="A111" s="84">
        <v>69</v>
      </c>
      <c r="B111" s="82" t="s">
        <v>249</v>
      </c>
      <c r="C111" s="53" t="s">
        <v>242</v>
      </c>
      <c r="D111" s="54" t="s">
        <v>77</v>
      </c>
      <c r="E111" s="54" t="s">
        <v>78</v>
      </c>
      <c r="F111" s="53" t="s">
        <v>250</v>
      </c>
      <c r="G111" s="54" t="s">
        <v>84</v>
      </c>
      <c r="H111" s="55" t="s">
        <v>96</v>
      </c>
      <c r="I111" s="56">
        <v>4.59</v>
      </c>
      <c r="J111" s="57">
        <f t="shared" si="19"/>
        <v>81229.23</v>
      </c>
      <c r="K111" s="58">
        <v>1.25</v>
      </c>
      <c r="L111" s="57">
        <f t="shared" si="20"/>
        <v>101536.53749999999</v>
      </c>
      <c r="M111" s="59"/>
      <c r="N111" s="57">
        <v>17697</v>
      </c>
      <c r="O111" s="58">
        <v>5.5</v>
      </c>
      <c r="P111" s="58"/>
      <c r="Q111" s="58">
        <v>3</v>
      </c>
      <c r="R111" s="60">
        <f>IF(O111&gt;0,$L111/18*O111,"")</f>
        <v>31025.053124999999</v>
      </c>
      <c r="S111" s="60" t="str">
        <f>IF(P111&gt;0,$L111/18*P111,"")</f>
        <v/>
      </c>
      <c r="T111" s="60">
        <f>IF(Q111&gt;0,$L111/18*Q111,"")</f>
        <v>16922.756249999999</v>
      </c>
      <c r="U111" s="58"/>
      <c r="V111" s="57"/>
      <c r="W111" s="58"/>
      <c r="X111" s="57"/>
      <c r="Y111" s="58"/>
      <c r="Z111" s="57"/>
      <c r="AA111" s="60">
        <f t="shared" si="27"/>
        <v>47947.809374999997</v>
      </c>
      <c r="AB111" s="57"/>
      <c r="AC111" s="57"/>
      <c r="AD111" s="57"/>
      <c r="AE111" s="57"/>
      <c r="AF111" s="57"/>
      <c r="AG111" s="57"/>
      <c r="AH111" s="57"/>
      <c r="AI111" s="57">
        <f>N111*0.2*8.5/18</f>
        <v>1671.3833333333334</v>
      </c>
      <c r="AJ111" s="58">
        <v>5.5</v>
      </c>
      <c r="AK111" s="61">
        <f>L111*0.3*AJ111/18</f>
        <v>9307.5159375000003</v>
      </c>
      <c r="AL111" s="58"/>
      <c r="AM111" s="61"/>
      <c r="AN111" s="58">
        <v>3</v>
      </c>
      <c r="AO111" s="61">
        <f>L111*0.3*AN111/18</f>
        <v>5076.8268749999997</v>
      </c>
      <c r="AP111" s="58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71">
        <f t="array" ref="BA111">SUM(ROUND(AA111:AI111,0),ROUND(AK111:AK111,0),ROUND(AM111:AM111,0),ROUND(AO111:AO111,0),ROUND(AQ111:AZ111,0))</f>
        <v>64004</v>
      </c>
    </row>
    <row r="112" spans="1:53" s="20" customFormat="1" ht="12" thickBot="1" x14ac:dyDescent="0.25">
      <c r="A112" s="87"/>
      <c r="B112" s="86"/>
      <c r="C112" s="42" t="s">
        <v>251</v>
      </c>
      <c r="D112" s="43" t="s">
        <v>77</v>
      </c>
      <c r="E112" s="43">
        <v>2</v>
      </c>
      <c r="F112" s="42" t="s">
        <v>250</v>
      </c>
      <c r="G112" s="43" t="s">
        <v>111</v>
      </c>
      <c r="H112" s="44" t="s">
        <v>81</v>
      </c>
      <c r="I112" s="45">
        <v>4.3600000000000003</v>
      </c>
      <c r="J112" s="46">
        <f t="shared" si="19"/>
        <v>77158.920000000013</v>
      </c>
      <c r="K112" s="47">
        <v>1.25</v>
      </c>
      <c r="L112" s="46">
        <f t="shared" si="20"/>
        <v>96448.650000000023</v>
      </c>
      <c r="M112" s="48">
        <v>1</v>
      </c>
      <c r="N112" s="46">
        <v>17697</v>
      </c>
      <c r="O112" s="47"/>
      <c r="P112" s="47"/>
      <c r="Q112" s="47"/>
      <c r="R112" s="49"/>
      <c r="S112" s="49"/>
      <c r="T112" s="49"/>
      <c r="U112" s="47"/>
      <c r="V112" s="46"/>
      <c r="W112" s="47"/>
      <c r="X112" s="46"/>
      <c r="Y112" s="47"/>
      <c r="Z112" s="46"/>
      <c r="AA112" s="49">
        <f t="shared" si="27"/>
        <v>0</v>
      </c>
      <c r="AB112" s="46"/>
      <c r="AC112" s="46"/>
      <c r="AD112" s="46"/>
      <c r="AE112" s="46"/>
      <c r="AF112" s="46"/>
      <c r="AG112" s="46"/>
      <c r="AH112" s="46"/>
      <c r="AI112" s="46"/>
      <c r="AJ112" s="47"/>
      <c r="AK112" s="50"/>
      <c r="AL112" s="47"/>
      <c r="AM112" s="50"/>
      <c r="AN112" s="47"/>
      <c r="AO112" s="50"/>
      <c r="AP112" s="47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>
        <f>L112*M112</f>
        <v>96448.650000000023</v>
      </c>
      <c r="BA112" s="71">
        <f t="array" ref="BA112">SUM(ROUND(AA112:AI112,0),ROUND(AK112:AK112,0),ROUND(AM112:AM112,0),ROUND(AO112:AO112,0),ROUND(AQ112:AZ112,0))</f>
        <v>96449</v>
      </c>
    </row>
    <row r="113" spans="1:53" s="20" customFormat="1" ht="12" thickBot="1" x14ac:dyDescent="0.25">
      <c r="A113" s="84">
        <v>70</v>
      </c>
      <c r="B113" s="82" t="s">
        <v>252</v>
      </c>
      <c r="C113" s="53" t="s">
        <v>242</v>
      </c>
      <c r="D113" s="54" t="s">
        <v>77</v>
      </c>
      <c r="E113" s="54" t="s">
        <v>78</v>
      </c>
      <c r="F113" s="53" t="s">
        <v>106</v>
      </c>
      <c r="G113" s="54" t="s">
        <v>84</v>
      </c>
      <c r="H113" s="55" t="s">
        <v>96</v>
      </c>
      <c r="I113" s="56">
        <v>4.7300000000000004</v>
      </c>
      <c r="J113" s="57">
        <f t="shared" si="19"/>
        <v>83706.810000000012</v>
      </c>
      <c r="K113" s="58">
        <v>1.25</v>
      </c>
      <c r="L113" s="57">
        <f t="shared" si="20"/>
        <v>104633.51250000001</v>
      </c>
      <c r="M113" s="59"/>
      <c r="N113" s="57">
        <v>17697</v>
      </c>
      <c r="O113" s="58">
        <v>3</v>
      </c>
      <c r="P113" s="58">
        <v>6</v>
      </c>
      <c r="Q113" s="58"/>
      <c r="R113" s="60">
        <f>IF(O113&gt;0,$L113/18*O113,"")</f>
        <v>17438.918750000004</v>
      </c>
      <c r="S113" s="60">
        <f>IF(P113&gt;0,$L113/18*P113,"")</f>
        <v>34877.837500000009</v>
      </c>
      <c r="T113" s="60" t="str">
        <f>IF(Q113&gt;0,$L113/18*Q113,"")</f>
        <v/>
      </c>
      <c r="U113" s="58"/>
      <c r="V113" s="57"/>
      <c r="W113" s="58"/>
      <c r="X113" s="57"/>
      <c r="Y113" s="58"/>
      <c r="Z113" s="57"/>
      <c r="AA113" s="60">
        <f t="shared" si="27"/>
        <v>52316.756250000013</v>
      </c>
      <c r="AB113" s="57"/>
      <c r="AC113" s="57"/>
      <c r="AD113" s="57"/>
      <c r="AE113" s="57"/>
      <c r="AF113" s="57"/>
      <c r="AG113" s="57"/>
      <c r="AH113" s="57"/>
      <c r="AI113" s="57">
        <f>N113*0.2*9/18</f>
        <v>1769.7</v>
      </c>
      <c r="AJ113" s="58">
        <v>3</v>
      </c>
      <c r="AK113" s="61">
        <f>L113*0.3*AJ113/18</f>
        <v>5231.6756249999999</v>
      </c>
      <c r="AL113" s="58">
        <v>6</v>
      </c>
      <c r="AM113" s="61">
        <f>L113*0.3*AL113/18</f>
        <v>10463.35125</v>
      </c>
      <c r="AN113" s="58"/>
      <c r="AO113" s="61"/>
      <c r="AP113" s="58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71">
        <f t="array" ref="BA113">SUM(ROUND(AA113:AI113,0),ROUND(AK113:AK113,0),ROUND(AM113:AM113,0),ROUND(AO113:AO113,0),ROUND(AQ113:AZ113,0))</f>
        <v>69782</v>
      </c>
    </row>
    <row r="114" spans="1:53" s="20" customFormat="1" ht="12" thickBot="1" x14ac:dyDescent="0.25">
      <c r="A114" s="87"/>
      <c r="B114" s="86"/>
      <c r="C114" s="42" t="s">
        <v>253</v>
      </c>
      <c r="D114" s="43" t="s">
        <v>77</v>
      </c>
      <c r="E114" s="43" t="s">
        <v>78</v>
      </c>
      <c r="F114" s="42" t="s">
        <v>254</v>
      </c>
      <c r="G114" s="43" t="s">
        <v>255</v>
      </c>
      <c r="H114" s="44" t="s">
        <v>91</v>
      </c>
      <c r="I114" s="45">
        <v>4.43</v>
      </c>
      <c r="J114" s="46">
        <f t="shared" si="19"/>
        <v>78397.709999999992</v>
      </c>
      <c r="K114" s="47">
        <v>1.25</v>
      </c>
      <c r="L114" s="46">
        <f t="shared" si="20"/>
        <v>97997.137499999983</v>
      </c>
      <c r="M114" s="48">
        <v>1</v>
      </c>
      <c r="N114" s="46">
        <v>17697</v>
      </c>
      <c r="O114" s="47"/>
      <c r="P114" s="47"/>
      <c r="Q114" s="47"/>
      <c r="R114" s="49"/>
      <c r="S114" s="49"/>
      <c r="T114" s="49"/>
      <c r="U114" s="47"/>
      <c r="V114" s="46"/>
      <c r="W114" s="47"/>
      <c r="X114" s="46"/>
      <c r="Y114" s="47"/>
      <c r="Z114" s="46"/>
      <c r="AA114" s="49">
        <f t="shared" si="27"/>
        <v>0</v>
      </c>
      <c r="AB114" s="46"/>
      <c r="AC114" s="46"/>
      <c r="AD114" s="46"/>
      <c r="AE114" s="46"/>
      <c r="AF114" s="46"/>
      <c r="AG114" s="46"/>
      <c r="AH114" s="46"/>
      <c r="AI114" s="46"/>
      <c r="AJ114" s="47"/>
      <c r="AK114" s="50"/>
      <c r="AL114" s="47"/>
      <c r="AM114" s="50"/>
      <c r="AN114" s="47"/>
      <c r="AO114" s="50"/>
      <c r="AP114" s="47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>
        <f>L114*M114</f>
        <v>97997.137499999983</v>
      </c>
      <c r="BA114" s="71">
        <f t="array" ref="BA114">SUM(ROUND(AA114:AI114,0),ROUND(AK114:AK114,0),ROUND(AM114:AM114,0),ROUND(AO114:AO114,0),ROUND(AQ114:AZ114,0))</f>
        <v>97997</v>
      </c>
    </row>
    <row r="115" spans="1:53" s="20" customFormat="1" ht="12" thickBot="1" x14ac:dyDescent="0.25">
      <c r="A115" s="72">
        <v>71</v>
      </c>
      <c r="B115" s="73" t="s">
        <v>256</v>
      </c>
      <c r="C115" s="73" t="s">
        <v>242</v>
      </c>
      <c r="D115" s="74" t="s">
        <v>77</v>
      </c>
      <c r="E115" s="74" t="s">
        <v>78</v>
      </c>
      <c r="F115" s="73" t="s">
        <v>215</v>
      </c>
      <c r="G115" s="74" t="s">
        <v>84</v>
      </c>
      <c r="H115" s="75" t="s">
        <v>96</v>
      </c>
      <c r="I115" s="76">
        <v>4.1399999999999997</v>
      </c>
      <c r="J115" s="77">
        <f t="shared" si="19"/>
        <v>73265.579999999987</v>
      </c>
      <c r="K115" s="78">
        <v>1.25</v>
      </c>
      <c r="L115" s="77">
        <f t="shared" si="20"/>
        <v>91581.974999999977</v>
      </c>
      <c r="M115" s="79"/>
      <c r="N115" s="77">
        <v>17697</v>
      </c>
      <c r="O115" s="78">
        <v>8</v>
      </c>
      <c r="P115" s="78"/>
      <c r="Q115" s="78"/>
      <c r="R115" s="80">
        <f t="shared" ref="R115:T116" si="28">IF(O115&gt;0,$L115/18*O115,"")</f>
        <v>40703.099999999991</v>
      </c>
      <c r="S115" s="80" t="str">
        <f t="shared" si="28"/>
        <v/>
      </c>
      <c r="T115" s="80" t="str">
        <f t="shared" si="28"/>
        <v/>
      </c>
      <c r="U115" s="78"/>
      <c r="V115" s="77"/>
      <c r="W115" s="78"/>
      <c r="X115" s="77"/>
      <c r="Y115" s="78"/>
      <c r="Z115" s="77"/>
      <c r="AA115" s="80">
        <f t="shared" si="27"/>
        <v>40703.099999999991</v>
      </c>
      <c r="AB115" s="77"/>
      <c r="AC115" s="77"/>
      <c r="AD115" s="77"/>
      <c r="AE115" s="77"/>
      <c r="AF115" s="77"/>
      <c r="AG115" s="77"/>
      <c r="AH115" s="77"/>
      <c r="AI115" s="77">
        <f>N115*0.2*8/18</f>
        <v>1573.0666666666666</v>
      </c>
      <c r="AJ115" s="78">
        <v>8</v>
      </c>
      <c r="AK115" s="81">
        <f>L115*0.3*AJ115/18</f>
        <v>12210.929999999997</v>
      </c>
      <c r="AL115" s="78"/>
      <c r="AM115" s="81"/>
      <c r="AN115" s="78"/>
      <c r="AO115" s="81"/>
      <c r="AP115" s="78"/>
      <c r="AQ115" s="81"/>
      <c r="AR115" s="81"/>
      <c r="AS115" s="81"/>
      <c r="AT115" s="81"/>
      <c r="AU115" s="81"/>
      <c r="AV115" s="81"/>
      <c r="AW115" s="81"/>
      <c r="AX115" s="81"/>
      <c r="AY115" s="81">
        <f>L115*0.1*SUM(O115:Q115)/18</f>
        <v>4070.3099999999995</v>
      </c>
      <c r="AZ115" s="81"/>
      <c r="BA115" s="71">
        <f t="array" ref="BA115">SUM(ROUND(AA115:AI115,0),ROUND(AK115:AK115,0),ROUND(AM115:AM115,0),ROUND(AO115:AO115,0),ROUND(AQ115:AZ115,0))</f>
        <v>58557</v>
      </c>
    </row>
    <row r="116" spans="1:53" s="20" customFormat="1" ht="12" thickBot="1" x14ac:dyDescent="0.25">
      <c r="A116" s="84">
        <v>72</v>
      </c>
      <c r="B116" s="82" t="s">
        <v>257</v>
      </c>
      <c r="C116" s="53" t="s">
        <v>242</v>
      </c>
      <c r="D116" s="54" t="s">
        <v>77</v>
      </c>
      <c r="E116" s="54">
        <v>2</v>
      </c>
      <c r="F116" s="53" t="s">
        <v>258</v>
      </c>
      <c r="G116" s="54" t="s">
        <v>84</v>
      </c>
      <c r="H116" s="55" t="s">
        <v>81</v>
      </c>
      <c r="I116" s="56">
        <v>4.8099999999999996</v>
      </c>
      <c r="J116" s="57">
        <f t="shared" si="19"/>
        <v>85122.569999999992</v>
      </c>
      <c r="K116" s="58">
        <v>1.25</v>
      </c>
      <c r="L116" s="57">
        <f t="shared" si="20"/>
        <v>106403.21249999999</v>
      </c>
      <c r="M116" s="59"/>
      <c r="N116" s="57">
        <v>17697</v>
      </c>
      <c r="O116" s="58">
        <v>9</v>
      </c>
      <c r="P116" s="58"/>
      <c r="Q116" s="58"/>
      <c r="R116" s="60">
        <f t="shared" si="28"/>
        <v>53201.606249999997</v>
      </c>
      <c r="S116" s="60" t="str">
        <f t="shared" si="28"/>
        <v/>
      </c>
      <c r="T116" s="60" t="str">
        <f t="shared" si="28"/>
        <v/>
      </c>
      <c r="U116" s="58"/>
      <c r="V116" s="57"/>
      <c r="W116" s="58"/>
      <c r="X116" s="57"/>
      <c r="Y116" s="58"/>
      <c r="Z116" s="57"/>
      <c r="AA116" s="60">
        <f t="shared" si="27"/>
        <v>53201.606249999997</v>
      </c>
      <c r="AB116" s="57"/>
      <c r="AC116" s="57"/>
      <c r="AD116" s="57"/>
      <c r="AE116" s="57"/>
      <c r="AF116" s="57"/>
      <c r="AG116" s="57">
        <f>N116*0.2</f>
        <v>3539.4</v>
      </c>
      <c r="AH116" s="57"/>
      <c r="AI116" s="57">
        <f>N116*0.2*9/18</f>
        <v>1769.7</v>
      </c>
      <c r="AJ116" s="58">
        <v>9</v>
      </c>
      <c r="AK116" s="61">
        <f>L116*0.3*AJ116/18</f>
        <v>15960.481874999998</v>
      </c>
      <c r="AL116" s="58"/>
      <c r="AM116" s="61"/>
      <c r="AN116" s="58"/>
      <c r="AO116" s="61"/>
      <c r="AP116" s="58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71">
        <f t="array" ref="BA116">SUM(ROUND(AA116:AI116,0),ROUND(AK116:AK116,0),ROUND(AM116:AM116,0),ROUND(AO116:AO116,0),ROUND(AQ116:AZ116,0))</f>
        <v>74471</v>
      </c>
    </row>
    <row r="117" spans="1:53" s="20" customFormat="1" ht="12" thickBot="1" x14ac:dyDescent="0.25">
      <c r="A117" s="87"/>
      <c r="B117" s="86"/>
      <c r="C117" s="42" t="s">
        <v>259</v>
      </c>
      <c r="D117" s="43" t="s">
        <v>77</v>
      </c>
      <c r="E117" s="43" t="s">
        <v>78</v>
      </c>
      <c r="F117" s="42" t="s">
        <v>213</v>
      </c>
      <c r="G117" s="43" t="s">
        <v>111</v>
      </c>
      <c r="H117" s="44" t="s">
        <v>96</v>
      </c>
      <c r="I117" s="45">
        <v>3.94</v>
      </c>
      <c r="J117" s="46">
        <f t="shared" si="19"/>
        <v>69726.179999999993</v>
      </c>
      <c r="K117" s="47">
        <v>1</v>
      </c>
      <c r="L117" s="46">
        <f t="shared" si="20"/>
        <v>69726.179999999993</v>
      </c>
      <c r="M117" s="48">
        <v>1</v>
      </c>
      <c r="N117" s="46">
        <v>17697</v>
      </c>
      <c r="O117" s="47"/>
      <c r="P117" s="47"/>
      <c r="Q117" s="47"/>
      <c r="R117" s="49"/>
      <c r="S117" s="49"/>
      <c r="T117" s="49"/>
      <c r="U117" s="47"/>
      <c r="V117" s="46"/>
      <c r="W117" s="47"/>
      <c r="X117" s="46"/>
      <c r="Y117" s="47"/>
      <c r="Z117" s="46"/>
      <c r="AA117" s="49">
        <f t="shared" si="27"/>
        <v>0</v>
      </c>
      <c r="AB117" s="46"/>
      <c r="AC117" s="46"/>
      <c r="AD117" s="46"/>
      <c r="AE117" s="46"/>
      <c r="AF117" s="46"/>
      <c r="AG117" s="46"/>
      <c r="AH117" s="46"/>
      <c r="AI117" s="46"/>
      <c r="AJ117" s="47"/>
      <c r="AK117" s="50"/>
      <c r="AL117" s="47"/>
      <c r="AM117" s="50"/>
      <c r="AN117" s="47"/>
      <c r="AO117" s="50"/>
      <c r="AP117" s="47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>
        <f>L117*M117</f>
        <v>69726.179999999993</v>
      </c>
      <c r="BA117" s="71">
        <f t="array" ref="BA117">SUM(ROUND(AA117:AI117,0),ROUND(AK117:AK117,0),ROUND(AM117:AM117,0),ROUND(AO117:AO117,0),ROUND(AQ117:AZ117,0))</f>
        <v>69726</v>
      </c>
    </row>
    <row r="118" spans="1:53" s="20" customFormat="1" ht="12" thickBot="1" x14ac:dyDescent="0.25">
      <c r="A118" s="84">
        <v>73</v>
      </c>
      <c r="B118" s="82" t="s">
        <v>260</v>
      </c>
      <c r="C118" s="53" t="s">
        <v>261</v>
      </c>
      <c r="D118" s="54" t="s">
        <v>77</v>
      </c>
      <c r="E118" s="54" t="s">
        <v>83</v>
      </c>
      <c r="F118" s="53" t="s">
        <v>262</v>
      </c>
      <c r="G118" s="54" t="s">
        <v>84</v>
      </c>
      <c r="H118" s="55" t="s">
        <v>85</v>
      </c>
      <c r="I118" s="56">
        <v>5.41</v>
      </c>
      <c r="J118" s="57">
        <f t="shared" si="19"/>
        <v>95740.77</v>
      </c>
      <c r="K118" s="58">
        <v>1.25</v>
      </c>
      <c r="L118" s="57">
        <f t="shared" si="20"/>
        <v>119675.96250000001</v>
      </c>
      <c r="M118" s="59"/>
      <c r="N118" s="57">
        <v>17697</v>
      </c>
      <c r="O118" s="58"/>
      <c r="P118" s="58">
        <v>8</v>
      </c>
      <c r="Q118" s="58">
        <v>36</v>
      </c>
      <c r="R118" s="60" t="str">
        <f t="shared" ref="R118:T119" si="29">IF(O118&gt;0,$L118/18*O118,"")</f>
        <v/>
      </c>
      <c r="S118" s="60">
        <f t="shared" si="29"/>
        <v>53189.316666666673</v>
      </c>
      <c r="T118" s="60">
        <f t="shared" si="29"/>
        <v>239351.92500000002</v>
      </c>
      <c r="U118" s="58"/>
      <c r="V118" s="57"/>
      <c r="W118" s="58"/>
      <c r="X118" s="57"/>
      <c r="Y118" s="58"/>
      <c r="Z118" s="57"/>
      <c r="AA118" s="60">
        <f t="shared" si="27"/>
        <v>292541.2416666667</v>
      </c>
      <c r="AB118" s="57"/>
      <c r="AC118" s="57"/>
      <c r="AD118" s="57"/>
      <c r="AE118" s="57"/>
      <c r="AF118" s="57"/>
      <c r="AG118" s="57"/>
      <c r="AH118" s="57"/>
      <c r="AI118" s="57">
        <f>N118*0.2*44/18</f>
        <v>8651.8666666666668</v>
      </c>
      <c r="AJ118" s="58"/>
      <c r="AK118" s="61"/>
      <c r="AL118" s="58">
        <v>8</v>
      </c>
      <c r="AM118" s="61">
        <f>L118*0.3*AL118/18</f>
        <v>15956.795</v>
      </c>
      <c r="AN118" s="58">
        <v>36</v>
      </c>
      <c r="AO118" s="61">
        <f>L118*0.3*AN118/18</f>
        <v>71805.577499999999</v>
      </c>
      <c r="AP118" s="58"/>
      <c r="AQ118" s="61"/>
      <c r="AR118" s="61"/>
      <c r="AS118" s="61"/>
      <c r="AT118" s="61"/>
      <c r="AU118" s="61"/>
      <c r="AV118" s="61"/>
      <c r="AW118" s="61"/>
      <c r="AX118" s="61"/>
      <c r="AY118" s="61">
        <f>L118*0.1*SUM(O118:Q118)/18</f>
        <v>29254.124166666672</v>
      </c>
      <c r="AZ118" s="61"/>
      <c r="BA118" s="71">
        <f t="array" ref="BA118">SUM(ROUND(AA118:AI118,0),ROUND(AK118:AK118,0),ROUND(AM118:AM118,0),ROUND(AO118:AO118,0),ROUND(AQ118:AZ118,0))</f>
        <v>418210</v>
      </c>
    </row>
    <row r="119" spans="1:53" s="20" customFormat="1" ht="12" thickBot="1" x14ac:dyDescent="0.25">
      <c r="A119" s="85"/>
      <c r="B119" s="83"/>
      <c r="C119" s="62" t="s">
        <v>242</v>
      </c>
      <c r="D119" s="63" t="s">
        <v>77</v>
      </c>
      <c r="E119" s="63" t="s">
        <v>83</v>
      </c>
      <c r="F119" s="62" t="s">
        <v>262</v>
      </c>
      <c r="G119" s="63" t="s">
        <v>84</v>
      </c>
      <c r="H119" s="64" t="s">
        <v>85</v>
      </c>
      <c r="I119" s="65">
        <v>5.41</v>
      </c>
      <c r="J119" s="66">
        <f t="shared" si="19"/>
        <v>95740.77</v>
      </c>
      <c r="K119" s="67">
        <v>1.25</v>
      </c>
      <c r="L119" s="66">
        <f t="shared" si="20"/>
        <v>119675.96250000001</v>
      </c>
      <c r="M119" s="68"/>
      <c r="N119" s="66">
        <v>17697</v>
      </c>
      <c r="O119" s="67">
        <v>23.5</v>
      </c>
      <c r="P119" s="67">
        <v>6</v>
      </c>
      <c r="Q119" s="67"/>
      <c r="R119" s="69">
        <f t="shared" si="29"/>
        <v>156243.61770833336</v>
      </c>
      <c r="S119" s="69">
        <f t="shared" si="29"/>
        <v>39891.987500000003</v>
      </c>
      <c r="T119" s="69" t="str">
        <f t="shared" si="29"/>
        <v/>
      </c>
      <c r="U119" s="67"/>
      <c r="V119" s="66"/>
      <c r="W119" s="67"/>
      <c r="X119" s="66"/>
      <c r="Y119" s="67"/>
      <c r="Z119" s="66"/>
      <c r="AA119" s="69">
        <f t="shared" si="27"/>
        <v>196135.60520833335</v>
      </c>
      <c r="AB119" s="66"/>
      <c r="AC119" s="66"/>
      <c r="AD119" s="66"/>
      <c r="AE119" s="66"/>
      <c r="AF119" s="66"/>
      <c r="AG119" s="66"/>
      <c r="AH119" s="66"/>
      <c r="AI119" s="66">
        <f>N119*0.2*29.5/18</f>
        <v>5800.6833333333334</v>
      </c>
      <c r="AJ119" s="67">
        <v>23.5</v>
      </c>
      <c r="AK119" s="70">
        <f>L119*0.3*AJ119/18</f>
        <v>46873.085312499999</v>
      </c>
      <c r="AL119" s="67">
        <v>6</v>
      </c>
      <c r="AM119" s="70">
        <f>L119*0.3*AL119/18</f>
        <v>11967.596249999999</v>
      </c>
      <c r="AN119" s="67"/>
      <c r="AO119" s="70"/>
      <c r="AP119" s="67"/>
      <c r="AQ119" s="70"/>
      <c r="AR119" s="70"/>
      <c r="AS119" s="70"/>
      <c r="AT119" s="70"/>
      <c r="AU119" s="70"/>
      <c r="AV119" s="70"/>
      <c r="AW119" s="70"/>
      <c r="AX119" s="70"/>
      <c r="AY119" s="70">
        <f>L119*0.1*SUM(O119:Q119)/18</f>
        <v>19613.56052083334</v>
      </c>
      <c r="AZ119" s="70"/>
      <c r="BA119" s="71">
        <f t="array" ref="BA119">SUM(ROUND(AA119:AI119,0),ROUND(AK119:AK119,0),ROUND(AM119:AM119,0),ROUND(AO119:AO119,0),ROUND(AQ119:AZ119,0))</f>
        <v>280392</v>
      </c>
    </row>
    <row r="120" spans="1:53" s="25" customFormat="1" ht="12" thickBot="1" x14ac:dyDescent="0.25">
      <c r="A120" s="35"/>
      <c r="B120" s="36" t="s">
        <v>65</v>
      </c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8">
        <f t="shared" ref="O120:U120" si="30">SUM(O12:O119)</f>
        <v>730</v>
      </c>
      <c r="P120" s="38">
        <f t="shared" si="30"/>
        <v>727.5</v>
      </c>
      <c r="Q120" s="38">
        <f t="shared" si="30"/>
        <v>190.5</v>
      </c>
      <c r="R120" s="39">
        <f t="shared" si="30"/>
        <v>4236649.510416667</v>
      </c>
      <c r="S120" s="39">
        <f t="shared" si="30"/>
        <v>4553087.8468749998</v>
      </c>
      <c r="T120" s="39">
        <f t="shared" si="30"/>
        <v>1217903.8531250004</v>
      </c>
      <c r="U120" s="38">
        <f t="shared" si="30"/>
        <v>186</v>
      </c>
      <c r="V120" s="39">
        <f>SUM(V12:V119,0)</f>
        <v>218656.26666666666</v>
      </c>
      <c r="W120" s="38">
        <f>SUM(W12:W119)</f>
        <v>357</v>
      </c>
      <c r="X120" s="39">
        <f>SUM(X12:X119)</f>
        <v>159076.36666666667</v>
      </c>
      <c r="Y120" s="38">
        <f>SUM(Y12:Y119)</f>
        <v>66</v>
      </c>
      <c r="Z120" s="39">
        <f>SUM(Z12:Z119)</f>
        <v>29396.683333333331</v>
      </c>
      <c r="AA120" s="39">
        <f>SUM(AA12:AA119)</f>
        <v>10414770.52708333</v>
      </c>
      <c r="AB120" s="39">
        <f t="array" ref="AB120">SUM(ROUND(AB12:AB119,0))</f>
        <v>0</v>
      </c>
      <c r="AC120" s="39">
        <f t="array" ref="AC120">SUM(ROUND(AC12:AC119,0))</f>
        <v>0</v>
      </c>
      <c r="AD120" s="39">
        <f t="array" ref="AD120">SUM(ROUND(AD12:AD119,0))</f>
        <v>0</v>
      </c>
      <c r="AE120" s="39">
        <f t="array" ref="AE120">SUM(ROUND(AE12:AE119,0))</f>
        <v>47226</v>
      </c>
      <c r="AF120" s="39">
        <f t="array" ref="AF120">SUM(ROUND(AF12:AF119,0))</f>
        <v>338019</v>
      </c>
      <c r="AG120" s="39">
        <f t="array" ref="AG120">SUM(ROUND(AG12:AG119,0))</f>
        <v>31851</v>
      </c>
      <c r="AH120" s="39">
        <f t="array" ref="AH120">SUM(ROUND(AH12:AH119,0))</f>
        <v>0</v>
      </c>
      <c r="AI120" s="39">
        <f t="array" ref="AI120">SUM(ROUND(AI12:AI119,0))</f>
        <v>279021</v>
      </c>
      <c r="AJ120" s="38">
        <f>SUM(AJ12:AJ119)</f>
        <v>730</v>
      </c>
      <c r="AK120" s="39">
        <f t="array" ref="AK120">SUM(ROUND(AK12:AK119,0))</f>
        <v>1270994</v>
      </c>
      <c r="AL120" s="38">
        <f>SUM(AL12:AL119)</f>
        <v>727.5</v>
      </c>
      <c r="AM120" s="39">
        <f t="array" ref="AM120">SUM(ROUND(AM12:AM119,0))</f>
        <v>1365926</v>
      </c>
      <c r="AN120" s="38">
        <f>SUM(AN12:AN119)</f>
        <v>190.5</v>
      </c>
      <c r="AO120" s="39">
        <f t="array" ref="AO120">SUM(ROUND(AO12:AO119,0))</f>
        <v>372982</v>
      </c>
      <c r="AP120" s="38">
        <f>SUM(AP12:AP119)</f>
        <v>844.5</v>
      </c>
      <c r="AQ120" s="39">
        <f t="array" ref="AQ120">SUM(ROUND(AQ12:AQ119,0))</f>
        <v>0</v>
      </c>
      <c r="AR120" s="39">
        <f t="array" ref="AR120">SUM(ROUND(AR12:AR119,0))</f>
        <v>1584724</v>
      </c>
      <c r="AS120" s="39">
        <f t="array" ref="AS120">SUM(ROUND(AS12:AS119,0))</f>
        <v>177066</v>
      </c>
      <c r="AT120" s="39">
        <f t="array" ref="AT120">SUM(ROUND(AT12:AT119,0))</f>
        <v>279842</v>
      </c>
      <c r="AU120" s="39">
        <f t="array" ref="AU120">SUM(ROUND(AU12:AU119,0))</f>
        <v>106182</v>
      </c>
      <c r="AV120" s="39">
        <f t="array" ref="AV120">SUM(ROUND(AV12:AV119,0))</f>
        <v>35394</v>
      </c>
      <c r="AW120" s="39">
        <f t="array" ref="AW120">SUM(ROUND(AW12:AW119,0))</f>
        <v>27780</v>
      </c>
      <c r="AX120" s="39">
        <f t="array" ref="AX120">SUM(ROUND(AX12:AX119,0))</f>
        <v>0</v>
      </c>
      <c r="AY120" s="39">
        <f t="array" ref="AY120">SUM(ROUND(AY12:AY119,0))</f>
        <v>985418</v>
      </c>
      <c r="AZ120" s="39">
        <f t="array" ref="AZ120">SUM(ROUND(AZ12:AZ119,0))</f>
        <v>1207865</v>
      </c>
      <c r="BA120" s="39">
        <f t="array" ref="BA120">SUM(ROUND(AA120:AI120,0),ROUND(AK120:AK120,0),ROUND(AM120:AM120,0),ROUND(AO120:AO120,0),ROUND(AQ120:AZ120,0))</f>
        <v>18525061</v>
      </c>
    </row>
    <row r="122" spans="1:53" x14ac:dyDescent="0.25">
      <c r="A122" s="6"/>
      <c r="B122" s="6"/>
      <c r="C122" s="40" t="s">
        <v>69</v>
      </c>
      <c r="F122" s="40" t="s">
        <v>73</v>
      </c>
    </row>
    <row r="123" spans="1:53" x14ac:dyDescent="0.25">
      <c r="A123" s="6"/>
      <c r="B123" s="6"/>
      <c r="C123" s="6"/>
      <c r="F123" s="6"/>
    </row>
    <row r="124" spans="1:53" x14ac:dyDescent="0.25">
      <c r="A124" s="6"/>
      <c r="B124" s="40"/>
      <c r="C124" s="41" t="s">
        <v>66</v>
      </c>
      <c r="F124" s="40" t="s">
        <v>74</v>
      </c>
    </row>
  </sheetData>
  <mergeCells count="112">
    <mergeCell ref="A6:Q6"/>
    <mergeCell ref="S6:W6"/>
    <mergeCell ref="S1:W1"/>
    <mergeCell ref="S2:W2"/>
    <mergeCell ref="S3:W3"/>
    <mergeCell ref="A4:Q4"/>
    <mergeCell ref="S4:W4"/>
    <mergeCell ref="A5:Q5"/>
    <mergeCell ref="S5:W5"/>
    <mergeCell ref="AZ8:AZ10"/>
    <mergeCell ref="BA8:BA10"/>
    <mergeCell ref="O9:O10"/>
    <mergeCell ref="P9:P10"/>
    <mergeCell ref="N8:N10"/>
    <mergeCell ref="O8:Q8"/>
    <mergeCell ref="R8:T8"/>
    <mergeCell ref="U8:Z8"/>
    <mergeCell ref="AA8:AA10"/>
    <mergeCell ref="AB8:AY8"/>
    <mergeCell ref="Q9:Q10"/>
    <mergeCell ref="AW9:AW10"/>
    <mergeCell ref="AX9:AX10"/>
    <mergeCell ref="AY9:AY10"/>
    <mergeCell ref="B12:B13"/>
    <mergeCell ref="AJ9:AK9"/>
    <mergeCell ref="AL9:AM9"/>
    <mergeCell ref="AN9:AO9"/>
    <mergeCell ref="AP9:AT9"/>
    <mergeCell ref="AH9:AH10"/>
    <mergeCell ref="AI9:AI10"/>
    <mergeCell ref="Y9:Z9"/>
    <mergeCell ref="AB9:AD9"/>
    <mergeCell ref="AE9:AE10"/>
    <mergeCell ref="AF9:AF10"/>
    <mergeCell ref="AG9:AG10"/>
    <mergeCell ref="T9:T10"/>
    <mergeCell ref="U9:V9"/>
    <mergeCell ref="W9:X9"/>
    <mergeCell ref="S9:S10"/>
    <mergeCell ref="R9:R10"/>
    <mergeCell ref="H8:H10"/>
    <mergeCell ref="I8:I10"/>
    <mergeCell ref="J8:J10"/>
    <mergeCell ref="K8:K10"/>
    <mergeCell ref="A12:A13"/>
    <mergeCell ref="B14:B15"/>
    <mergeCell ref="A14:A15"/>
    <mergeCell ref="B16:B18"/>
    <mergeCell ref="A16:A18"/>
    <mergeCell ref="B19:B20"/>
    <mergeCell ref="A19:A20"/>
    <mergeCell ref="AU9:AU10"/>
    <mergeCell ref="AV9:AV10"/>
    <mergeCell ref="L8:L10"/>
    <mergeCell ref="M8:M10"/>
    <mergeCell ref="A8:A10"/>
    <mergeCell ref="B8:B10"/>
    <mergeCell ref="C8:C10"/>
    <mergeCell ref="D8:D10"/>
    <mergeCell ref="E8:E10"/>
    <mergeCell ref="F8:F10"/>
    <mergeCell ref="G8:G10"/>
    <mergeCell ref="B30:B32"/>
    <mergeCell ref="A30:A32"/>
    <mergeCell ref="B33:B34"/>
    <mergeCell ref="A33:A34"/>
    <mergeCell ref="B35:B37"/>
    <mergeCell ref="A35:A37"/>
    <mergeCell ref="B21:B22"/>
    <mergeCell ref="A21:A22"/>
    <mergeCell ref="B23:B24"/>
    <mergeCell ref="A23:A24"/>
    <mergeCell ref="B27:B29"/>
    <mergeCell ref="A27:A29"/>
    <mergeCell ref="B45:B46"/>
    <mergeCell ref="A45:A46"/>
    <mergeCell ref="B47:B48"/>
    <mergeCell ref="A47:A48"/>
    <mergeCell ref="B50:B51"/>
    <mergeCell ref="A50:A51"/>
    <mergeCell ref="B38:B39"/>
    <mergeCell ref="A38:A39"/>
    <mergeCell ref="B40:B42"/>
    <mergeCell ref="A40:A42"/>
    <mergeCell ref="B43:B44"/>
    <mergeCell ref="A43:A44"/>
    <mergeCell ref="B65:B66"/>
    <mergeCell ref="A65:A66"/>
    <mergeCell ref="B68:B69"/>
    <mergeCell ref="A68:A69"/>
    <mergeCell ref="B73:B74"/>
    <mergeCell ref="A73:A74"/>
    <mergeCell ref="B52:B53"/>
    <mergeCell ref="A52:A53"/>
    <mergeCell ref="B54:B55"/>
    <mergeCell ref="A54:A55"/>
    <mergeCell ref="B56:B58"/>
    <mergeCell ref="A56:A58"/>
    <mergeCell ref="B118:B119"/>
    <mergeCell ref="A118:A119"/>
    <mergeCell ref="B111:B112"/>
    <mergeCell ref="A111:A112"/>
    <mergeCell ref="B113:B114"/>
    <mergeCell ref="A113:A114"/>
    <mergeCell ref="B116:B117"/>
    <mergeCell ref="A116:A117"/>
    <mergeCell ref="B75:B76"/>
    <mergeCell ref="A75:A76"/>
    <mergeCell ref="B98:B99"/>
    <mergeCell ref="A98:A99"/>
    <mergeCell ref="B105:B106"/>
    <mergeCell ref="A105:A106"/>
  </mergeCells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01.09.2020</vt:lpstr>
      <vt:lpstr>'01.09.2020'!Заголовки_для_печати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2020-10-05T12:58:51Z</cp:lastPrinted>
  <dcterms:created xsi:type="dcterms:W3CDTF">2020-10-05T12:48:26Z</dcterms:created>
  <dcterms:modified xsi:type="dcterms:W3CDTF">2020-10-05T12:58:58Z</dcterms:modified>
</cp:coreProperties>
</file>